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eni\Desktop\ביטוח לאומי-תקנים 24.6.26\תקן ציוד מרחבים-פעילות יומית לאנשים עם מוגבלות\"/>
    </mc:Choice>
  </mc:AlternateContent>
  <xr:revisionPtr revIDLastSave="0" documentId="8_{52387411-132B-4253-B4A6-BB2BE9A22243}" xr6:coauthVersionLast="36" xr6:coauthVersionMax="36" xr10:uidLastSave="{00000000-0000-0000-0000-000000000000}"/>
  <bookViews>
    <workbookView xWindow="-108" yWindow="-108" windowWidth="23256" windowHeight="12456" tabRatio="500" firstSheet="5" activeTab="6" xr2:uid="{00000000-000D-0000-FFFF-FFFF00000000}"/>
  </bookViews>
  <sheets>
    <sheet name="פתיח" sheetId="1" r:id="rId1"/>
    <sheet name="שאלון למילוי הבקשה - חובה" sheetId="2" r:id="rId2"/>
    <sheet name="ציוד לחדרי קבוצות" sheetId="3" r:id="rId3"/>
    <sheet name="ציוד כללי" sheetId="4" r:id="rId4"/>
    <sheet name="ציוד תעסוקה וסדנאות" sheetId="8" r:id="rId5"/>
    <sheet name="מטבח ואזור אכילה" sheetId="5" r:id="rId6"/>
    <sheet name="ציוד צוות" sheetId="9" r:id="rId7"/>
    <sheet name="ציוד יעודי שלא נמצא בתקן" sheetId="6" r:id="rId8"/>
    <sheet name="סיכום לוועדה" sheetId="7" r:id="rId9"/>
  </sheets>
  <definedNames>
    <definedName name="BedroomType" localSheetId="0">#REF!</definedName>
    <definedName name="BedroomType">#REF!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47" i="8" l="1"/>
  <c r="R35" i="8"/>
  <c r="R23" i="8"/>
  <c r="D31" i="5"/>
  <c r="D29" i="5"/>
  <c r="F30" i="5"/>
  <c r="H30" i="5"/>
  <c r="Q30" i="5" s="1"/>
  <c r="I30" i="5"/>
  <c r="F20" i="5"/>
  <c r="H20" i="5"/>
  <c r="F21" i="5"/>
  <c r="H21" i="5"/>
  <c r="Q21" i="5" s="1"/>
  <c r="I21" i="5"/>
  <c r="F22" i="5"/>
  <c r="H22" i="5"/>
  <c r="I22" i="5"/>
  <c r="Q22" i="5"/>
  <c r="R22" i="5" s="1"/>
  <c r="I23" i="5"/>
  <c r="F24" i="5"/>
  <c r="H24" i="5"/>
  <c r="Q24" i="5" s="1"/>
  <c r="I24" i="5"/>
  <c r="R30" i="5" l="1"/>
  <c r="I20" i="5"/>
  <c r="Q20" i="5"/>
  <c r="R20" i="5" s="1"/>
  <c r="R24" i="5"/>
  <c r="R21" i="5"/>
  <c r="E20" i="4" l="1"/>
  <c r="E15" i="5" l="1"/>
  <c r="E16" i="5"/>
  <c r="F16" i="5" s="1"/>
  <c r="I16" i="5"/>
  <c r="B18" i="7"/>
  <c r="I36" i="8"/>
  <c r="H36" i="8"/>
  <c r="F36" i="8"/>
  <c r="K47" i="8" s="1"/>
  <c r="H16" i="5" l="1"/>
  <c r="Q16" i="5" s="1"/>
  <c r="D38" i="4"/>
  <c r="D37" i="4"/>
  <c r="D36" i="4"/>
  <c r="D48" i="4"/>
  <c r="D35" i="3"/>
  <c r="D36" i="3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R16" i="5" l="1"/>
  <c r="B17" i="7"/>
  <c r="B19" i="7"/>
  <c r="B20" i="7"/>
  <c r="B21" i="7"/>
  <c r="I13" i="5" l="1"/>
  <c r="Q53" i="4"/>
  <c r="P53" i="4"/>
  <c r="K53" i="4"/>
  <c r="D22" i="3" l="1"/>
  <c r="D23" i="3"/>
  <c r="D13" i="3"/>
  <c r="D24" i="9"/>
  <c r="E43" i="4"/>
  <c r="E38" i="4"/>
  <c r="E31" i="4"/>
  <c r="E36" i="4"/>
  <c r="E24" i="4"/>
  <c r="D14" i="4" l="1"/>
  <c r="E15" i="4"/>
  <c r="D13" i="4"/>
  <c r="D5" i="8"/>
  <c r="B5" i="8"/>
  <c r="D4" i="8"/>
  <c r="B4" i="8"/>
  <c r="D3" i="8"/>
  <c r="B3" i="8"/>
  <c r="D2" i="8"/>
  <c r="B2" i="8"/>
  <c r="D5" i="9"/>
  <c r="B5" i="9"/>
  <c r="D4" i="9"/>
  <c r="B4" i="9"/>
  <c r="D3" i="9"/>
  <c r="B3" i="9"/>
  <c r="D2" i="9"/>
  <c r="B2" i="9"/>
  <c r="D25" i="9"/>
  <c r="I15" i="9"/>
  <c r="F15" i="9"/>
  <c r="H14" i="9"/>
  <c r="F14" i="9"/>
  <c r="B49" i="8"/>
  <c r="B48" i="8"/>
  <c r="H24" i="8"/>
  <c r="I24" i="8"/>
  <c r="H12" i="8"/>
  <c r="F12" i="8"/>
  <c r="H51" i="8" l="1"/>
  <c r="H50" i="8"/>
  <c r="C18" i="7" s="1"/>
  <c r="K23" i="8"/>
  <c r="Q14" i="9"/>
  <c r="R14" i="9" s="1"/>
  <c r="I14" i="9"/>
  <c r="D16" i="9"/>
  <c r="D13" i="9"/>
  <c r="D9" i="9"/>
  <c r="D17" i="9"/>
  <c r="D10" i="9"/>
  <c r="D11" i="9"/>
  <c r="D12" i="9"/>
  <c r="H15" i="9"/>
  <c r="I12" i="8"/>
  <c r="F24" i="8"/>
  <c r="F50" i="8" s="1"/>
  <c r="P47" i="8" l="1"/>
  <c r="Q47" i="8" s="1"/>
  <c r="P23" i="8"/>
  <c r="P35" i="8"/>
  <c r="Q35" i="8" s="1"/>
  <c r="K35" i="8"/>
  <c r="K50" i="8" s="1"/>
  <c r="F18" i="7" s="1"/>
  <c r="F17" i="9"/>
  <c r="F9" i="9"/>
  <c r="F13" i="9"/>
  <c r="F16" i="9"/>
  <c r="Q15" i="9"/>
  <c r="R15" i="9" s="1"/>
  <c r="F12" i="9"/>
  <c r="F11" i="9"/>
  <c r="F10" i="9"/>
  <c r="Q23" i="8" l="1"/>
  <c r="P50" i="8"/>
  <c r="I9" i="9"/>
  <c r="H9" i="9"/>
  <c r="I10" i="9"/>
  <c r="H10" i="9"/>
  <c r="F18" i="9"/>
  <c r="K18" i="9"/>
  <c r="F20" i="7" s="1"/>
  <c r="I17" i="9"/>
  <c r="H17" i="9"/>
  <c r="I11" i="9"/>
  <c r="H11" i="9"/>
  <c r="I12" i="9"/>
  <c r="H12" i="9"/>
  <c r="I16" i="9"/>
  <c r="H16" i="9"/>
  <c r="I13" i="9"/>
  <c r="H13" i="9"/>
  <c r="Q50" i="8" l="1"/>
  <c r="R50" i="8" s="1"/>
  <c r="G18" i="7"/>
  <c r="Q12" i="9"/>
  <c r="R12" i="9" s="1"/>
  <c r="Q16" i="9"/>
  <c r="R16" i="9" s="1"/>
  <c r="H18" i="9"/>
  <c r="C20" i="7" s="1"/>
  <c r="Q11" i="9"/>
  <c r="R11" i="9" s="1"/>
  <c r="Q17" i="9"/>
  <c r="R17" i="9" s="1"/>
  <c r="Q13" i="9"/>
  <c r="R13" i="9" s="1"/>
  <c r="Q10" i="9"/>
  <c r="R10" i="9" s="1"/>
  <c r="P18" i="9" l="1"/>
  <c r="Q9" i="9"/>
  <c r="R9" i="9" s="1"/>
  <c r="Q18" i="9" l="1"/>
  <c r="R18" i="9" s="1"/>
  <c r="G20" i="7"/>
  <c r="D34" i="5"/>
  <c r="D33" i="5"/>
  <c r="D32" i="5"/>
  <c r="E23" i="5"/>
  <c r="E17" i="5"/>
  <c r="E19" i="5"/>
  <c r="E14" i="5"/>
  <c r="E13" i="5"/>
  <c r="H13" i="5" s="1"/>
  <c r="F23" i="5" l="1"/>
  <c r="H23" i="5"/>
  <c r="Q13" i="5"/>
  <c r="C27" i="7"/>
  <c r="C26" i="7" s="1"/>
  <c r="Q23" i="5" l="1"/>
  <c r="R23" i="5" s="1"/>
  <c r="R13" i="5"/>
  <c r="B9" i="7"/>
  <c r="F33" i="2" l="1"/>
  <c r="F35" i="2"/>
  <c r="E33" i="2"/>
  <c r="B1" i="2"/>
  <c r="O65" i="6"/>
  <c r="K65" i="6"/>
  <c r="I65" i="6"/>
  <c r="O64" i="6"/>
  <c r="K64" i="6"/>
  <c r="I64" i="6"/>
  <c r="O63" i="6"/>
  <c r="K63" i="6"/>
  <c r="I63" i="6"/>
  <c r="O62" i="6"/>
  <c r="K62" i="6"/>
  <c r="I62" i="6"/>
  <c r="O61" i="6"/>
  <c r="K61" i="6"/>
  <c r="I61" i="6"/>
  <c r="O60" i="6"/>
  <c r="K60" i="6"/>
  <c r="I60" i="6"/>
  <c r="O59" i="6"/>
  <c r="K59" i="6"/>
  <c r="I59" i="6"/>
  <c r="O58" i="6"/>
  <c r="K58" i="6"/>
  <c r="I58" i="6"/>
  <c r="O57" i="6"/>
  <c r="K57" i="6"/>
  <c r="I57" i="6"/>
  <c r="O56" i="6"/>
  <c r="K56" i="6"/>
  <c r="I56" i="6"/>
  <c r="O55" i="6"/>
  <c r="K55" i="6"/>
  <c r="I55" i="6"/>
  <c r="O54" i="6"/>
  <c r="K54" i="6"/>
  <c r="I54" i="6"/>
  <c r="O53" i="6"/>
  <c r="K53" i="6"/>
  <c r="I53" i="6"/>
  <c r="O52" i="6"/>
  <c r="K52" i="6"/>
  <c r="I52" i="6"/>
  <c r="O51" i="6"/>
  <c r="K51" i="6"/>
  <c r="I51" i="6"/>
  <c r="O50" i="6"/>
  <c r="K50" i="6"/>
  <c r="I50" i="6"/>
  <c r="O49" i="6"/>
  <c r="K49" i="6"/>
  <c r="I49" i="6"/>
  <c r="O48" i="6"/>
  <c r="K48" i="6"/>
  <c r="I48" i="6"/>
  <c r="O47" i="6"/>
  <c r="K47" i="6"/>
  <c r="I47" i="6"/>
  <c r="O46" i="6"/>
  <c r="K46" i="6"/>
  <c r="I46" i="6"/>
  <c r="O45" i="6"/>
  <c r="K45" i="6"/>
  <c r="I45" i="6"/>
  <c r="O44" i="6"/>
  <c r="K44" i="6"/>
  <c r="I44" i="6"/>
  <c r="O43" i="6"/>
  <c r="K43" i="6"/>
  <c r="I43" i="6"/>
  <c r="O42" i="6"/>
  <c r="K42" i="6"/>
  <c r="I42" i="6"/>
  <c r="O41" i="6"/>
  <c r="K41" i="6"/>
  <c r="I41" i="6"/>
  <c r="O40" i="6"/>
  <c r="K40" i="6"/>
  <c r="I40" i="6"/>
  <c r="O39" i="6"/>
  <c r="K39" i="6"/>
  <c r="I39" i="6"/>
  <c r="O38" i="6"/>
  <c r="K38" i="6"/>
  <c r="I38" i="6"/>
  <c r="O37" i="6"/>
  <c r="K37" i="6"/>
  <c r="I37" i="6"/>
  <c r="O36" i="6"/>
  <c r="K36" i="6"/>
  <c r="I36" i="6"/>
  <c r="O35" i="6"/>
  <c r="K35" i="6"/>
  <c r="I35" i="6"/>
  <c r="O34" i="6"/>
  <c r="K34" i="6"/>
  <c r="I34" i="6"/>
  <c r="O33" i="6"/>
  <c r="K33" i="6"/>
  <c r="I33" i="6"/>
  <c r="O32" i="6"/>
  <c r="K32" i="6"/>
  <c r="I32" i="6"/>
  <c r="O31" i="6"/>
  <c r="K31" i="6"/>
  <c r="I31" i="6"/>
  <c r="O30" i="6"/>
  <c r="K30" i="6"/>
  <c r="I30" i="6"/>
  <c r="O29" i="6"/>
  <c r="K29" i="6"/>
  <c r="I29" i="6"/>
  <c r="O28" i="6"/>
  <c r="K28" i="6"/>
  <c r="I28" i="6"/>
  <c r="O27" i="6"/>
  <c r="K27" i="6"/>
  <c r="I27" i="6"/>
  <c r="O26" i="6"/>
  <c r="K26" i="6"/>
  <c r="I26" i="6"/>
  <c r="O25" i="6"/>
  <c r="K25" i="6"/>
  <c r="I25" i="6"/>
  <c r="O24" i="6"/>
  <c r="K24" i="6"/>
  <c r="I24" i="6"/>
  <c r="O23" i="6"/>
  <c r="K23" i="6"/>
  <c r="I23" i="6"/>
  <c r="O22" i="6"/>
  <c r="K22" i="6"/>
  <c r="I22" i="6"/>
  <c r="O21" i="6"/>
  <c r="K21" i="6"/>
  <c r="I21" i="6"/>
  <c r="O20" i="6"/>
  <c r="K20" i="6"/>
  <c r="I20" i="6"/>
  <c r="O19" i="6"/>
  <c r="K19" i="6"/>
  <c r="I19" i="6"/>
  <c r="O18" i="6"/>
  <c r="K18" i="6"/>
  <c r="I18" i="6"/>
  <c r="O17" i="6"/>
  <c r="K17" i="6"/>
  <c r="I17" i="6"/>
  <c r="O16" i="6"/>
  <c r="K16" i="6"/>
  <c r="I16" i="6"/>
  <c r="O15" i="6"/>
  <c r="K15" i="6"/>
  <c r="I15" i="6"/>
  <c r="O14" i="6"/>
  <c r="K14" i="6"/>
  <c r="I14" i="6"/>
  <c r="O13" i="6"/>
  <c r="K13" i="6"/>
  <c r="I13" i="6"/>
  <c r="O12" i="6"/>
  <c r="K12" i="6"/>
  <c r="I12" i="6"/>
  <c r="O11" i="6"/>
  <c r="K11" i="6"/>
  <c r="I11" i="6"/>
  <c r="O10" i="6"/>
  <c r="K10" i="6"/>
  <c r="I10" i="6"/>
  <c r="O9" i="6"/>
  <c r="K9" i="6"/>
  <c r="I9" i="6"/>
  <c r="O8" i="6"/>
  <c r="K8" i="6"/>
  <c r="I8" i="6"/>
  <c r="O7" i="6"/>
  <c r="K7" i="6"/>
  <c r="I7" i="6"/>
  <c r="M6" i="6"/>
  <c r="K6" i="6"/>
  <c r="I6" i="6"/>
  <c r="C3" i="6"/>
  <c r="B3" i="6"/>
  <c r="C2" i="6"/>
  <c r="B2" i="6"/>
  <c r="I31" i="5"/>
  <c r="H31" i="5"/>
  <c r="D28" i="5"/>
  <c r="I27" i="5"/>
  <c r="H27" i="5"/>
  <c r="D26" i="5"/>
  <c r="D25" i="5"/>
  <c r="I19" i="5"/>
  <c r="H19" i="5"/>
  <c r="I18" i="5"/>
  <c r="H18" i="5"/>
  <c r="F18" i="5"/>
  <c r="I17" i="5"/>
  <c r="F17" i="5"/>
  <c r="I15" i="5"/>
  <c r="H15" i="5"/>
  <c r="I14" i="5"/>
  <c r="F14" i="5"/>
  <c r="B9" i="5"/>
  <c r="B8" i="5"/>
  <c r="B7" i="5"/>
  <c r="D5" i="5"/>
  <c r="B5" i="5"/>
  <c r="D4" i="5"/>
  <c r="E4" i="5" s="1"/>
  <c r="B4" i="5"/>
  <c r="D3" i="5"/>
  <c r="B3" i="5"/>
  <c r="D2" i="5"/>
  <c r="B2" i="5"/>
  <c r="B54" i="4"/>
  <c r="B53" i="4"/>
  <c r="B52" i="4"/>
  <c r="D49" i="4"/>
  <c r="I47" i="4"/>
  <c r="H47" i="4"/>
  <c r="Q47" i="4" s="1"/>
  <c r="R47" i="4" s="1"/>
  <c r="F47" i="4"/>
  <c r="I43" i="4"/>
  <c r="H43" i="4"/>
  <c r="Q43" i="4" s="1"/>
  <c r="R43" i="4" s="1"/>
  <c r="I38" i="4"/>
  <c r="H38" i="4"/>
  <c r="I36" i="4"/>
  <c r="H36" i="4"/>
  <c r="I35" i="4"/>
  <c r="H35" i="4"/>
  <c r="F35" i="4"/>
  <c r="I34" i="4"/>
  <c r="H34" i="4"/>
  <c r="F34" i="4"/>
  <c r="I33" i="4"/>
  <c r="H33" i="4"/>
  <c r="F33" i="4"/>
  <c r="I32" i="4"/>
  <c r="H32" i="4"/>
  <c r="F32" i="4"/>
  <c r="I31" i="4"/>
  <c r="H31" i="4"/>
  <c r="F31" i="4"/>
  <c r="I26" i="4"/>
  <c r="E26" i="4"/>
  <c r="F26" i="4" s="1"/>
  <c r="D25" i="4"/>
  <c r="I24" i="4"/>
  <c r="H24" i="4"/>
  <c r="F24" i="4"/>
  <c r="I20" i="4"/>
  <c r="H20" i="4"/>
  <c r="Q20" i="4" s="1"/>
  <c r="R20" i="4" s="1"/>
  <c r="I15" i="4"/>
  <c r="H15" i="4"/>
  <c r="I14" i="4"/>
  <c r="H14" i="4"/>
  <c r="Q14" i="4" s="1"/>
  <c r="R14" i="4" s="1"/>
  <c r="F14" i="4"/>
  <c r="B9" i="4"/>
  <c r="B8" i="4"/>
  <c r="B7" i="4"/>
  <c r="D5" i="4"/>
  <c r="B5" i="4"/>
  <c r="D4" i="4"/>
  <c r="E4" i="4" s="1"/>
  <c r="B4" i="4"/>
  <c r="D3" i="4"/>
  <c r="B3" i="4"/>
  <c r="D2" i="4"/>
  <c r="B2" i="4"/>
  <c r="Q44" i="3"/>
  <c r="P44" i="3"/>
  <c r="K44" i="3"/>
  <c r="H44" i="3"/>
  <c r="F44" i="3"/>
  <c r="B43" i="3"/>
  <c r="B44" i="3" s="1"/>
  <c r="I41" i="3"/>
  <c r="J40" i="3"/>
  <c r="I40" i="3"/>
  <c r="H40" i="3"/>
  <c r="G40" i="3"/>
  <c r="F40" i="3"/>
  <c r="E40" i="3"/>
  <c r="D40" i="3"/>
  <c r="B40" i="3"/>
  <c r="A40" i="3"/>
  <c r="I37" i="3"/>
  <c r="I36" i="3"/>
  <c r="H36" i="3"/>
  <c r="F36" i="3"/>
  <c r="I35" i="3"/>
  <c r="H35" i="3"/>
  <c r="F35" i="3"/>
  <c r="J34" i="3"/>
  <c r="I34" i="3"/>
  <c r="H34" i="3"/>
  <c r="G34" i="3"/>
  <c r="F34" i="3"/>
  <c r="E34" i="3"/>
  <c r="D34" i="3"/>
  <c r="B34" i="3"/>
  <c r="A34" i="3"/>
  <c r="I31" i="3"/>
  <c r="I30" i="3"/>
  <c r="H30" i="3"/>
  <c r="F30" i="3"/>
  <c r="I29" i="3"/>
  <c r="H29" i="3"/>
  <c r="F29" i="3"/>
  <c r="J27" i="3"/>
  <c r="I27" i="3"/>
  <c r="H27" i="3"/>
  <c r="G27" i="3"/>
  <c r="F27" i="3"/>
  <c r="E27" i="3"/>
  <c r="D27" i="3"/>
  <c r="B27" i="3"/>
  <c r="A27" i="3"/>
  <c r="I23" i="3"/>
  <c r="H23" i="3"/>
  <c r="F23" i="3"/>
  <c r="I22" i="3"/>
  <c r="H22" i="3"/>
  <c r="F22" i="3"/>
  <c r="D21" i="3"/>
  <c r="D20" i="3"/>
  <c r="D19" i="3"/>
  <c r="D18" i="3"/>
  <c r="D17" i="3"/>
  <c r="D16" i="3"/>
  <c r="D15" i="3"/>
  <c r="D14" i="3"/>
  <c r="D5" i="3"/>
  <c r="D41" i="3" s="1"/>
  <c r="H41" i="3" s="1"/>
  <c r="Q41" i="3" s="1"/>
  <c r="R41" i="3" s="1"/>
  <c r="B5" i="3"/>
  <c r="D4" i="3"/>
  <c r="E4" i="3" s="1"/>
  <c r="B4" i="3"/>
  <c r="D3" i="3"/>
  <c r="B3" i="3"/>
  <c r="D2" i="3"/>
  <c r="B2" i="3"/>
  <c r="F31" i="2"/>
  <c r="F29" i="2"/>
  <c r="F26" i="2"/>
  <c r="F24" i="2"/>
  <c r="F22" i="2"/>
  <c r="F20" i="2"/>
  <c r="F18" i="2"/>
  <c r="F15" i="2"/>
  <c r="F13" i="2"/>
  <c r="F11" i="2"/>
  <c r="F9" i="2"/>
  <c r="F7" i="2"/>
  <c r="F5" i="2"/>
  <c r="B16" i="7"/>
  <c r="C13" i="7"/>
  <c r="B13" i="7"/>
  <c r="C12" i="7"/>
  <c r="B12" i="7"/>
  <c r="C11" i="7"/>
  <c r="B11" i="7"/>
  <c r="C10" i="7"/>
  <c r="B10" i="7"/>
  <c r="C9" i="7"/>
  <c r="E7" i="7"/>
  <c r="D7" i="7"/>
  <c r="E6" i="7"/>
  <c r="D6" i="7"/>
  <c r="Q18" i="5" l="1"/>
  <c r="R18" i="5" s="1"/>
  <c r="B1" i="6"/>
  <c r="B1" i="8"/>
  <c r="B1" i="9"/>
  <c r="K37" i="3"/>
  <c r="Q35" i="4"/>
  <c r="R35" i="4" s="1"/>
  <c r="B1" i="7"/>
  <c r="Q33" i="4"/>
  <c r="R33" i="4" s="1"/>
  <c r="Q34" i="4"/>
  <c r="R34" i="4"/>
  <c r="Q27" i="5"/>
  <c r="R27" i="5" s="1"/>
  <c r="Q32" i="4"/>
  <c r="R32" i="4" s="1"/>
  <c r="Q29" i="3"/>
  <c r="R29" i="3" s="1"/>
  <c r="Q30" i="3"/>
  <c r="R30" i="3" s="1"/>
  <c r="Q35" i="3"/>
  <c r="Q36" i="3"/>
  <c r="R36" i="3" s="1"/>
  <c r="Q66" i="6"/>
  <c r="F21" i="7" s="1"/>
  <c r="X23" i="6"/>
  <c r="W23" i="6"/>
  <c r="X24" i="6"/>
  <c r="W24" i="6"/>
  <c r="W9" i="6"/>
  <c r="X9" i="6"/>
  <c r="X13" i="6"/>
  <c r="W13" i="6"/>
  <c r="X17" i="6"/>
  <c r="W17" i="6"/>
  <c r="X21" i="6"/>
  <c r="W21" i="6"/>
  <c r="W29" i="6"/>
  <c r="X29" i="6"/>
  <c r="X11" i="6"/>
  <c r="W11" i="6"/>
  <c r="X27" i="6"/>
  <c r="W27" i="6"/>
  <c r="X12" i="6"/>
  <c r="W12" i="6"/>
  <c r="X20" i="6"/>
  <c r="W20" i="6"/>
  <c r="W28" i="6"/>
  <c r="X28" i="6"/>
  <c r="W25" i="6"/>
  <c r="X25" i="6"/>
  <c r="X15" i="6"/>
  <c r="W15" i="6"/>
  <c r="X14" i="6"/>
  <c r="W14" i="6"/>
  <c r="X26" i="6"/>
  <c r="W26" i="6"/>
  <c r="X7" i="6"/>
  <c r="W7" i="6"/>
  <c r="W19" i="6"/>
  <c r="X19" i="6"/>
  <c r="X8" i="6"/>
  <c r="W8" i="6"/>
  <c r="W16" i="6"/>
  <c r="X16" i="6"/>
  <c r="X10" i="6"/>
  <c r="W10" i="6"/>
  <c r="X18" i="6"/>
  <c r="W18" i="6"/>
  <c r="X22" i="6"/>
  <c r="W22" i="6"/>
  <c r="X30" i="6"/>
  <c r="W30" i="6"/>
  <c r="Q31" i="5"/>
  <c r="R31" i="5" s="1"/>
  <c r="Q24" i="4"/>
  <c r="Q23" i="3"/>
  <c r="R23" i="3"/>
  <c r="Q31" i="4"/>
  <c r="Q22" i="3"/>
  <c r="R22" i="3" s="1"/>
  <c r="Q38" i="4"/>
  <c r="R38" i="4" s="1"/>
  <c r="Q15" i="5"/>
  <c r="R15" i="5" s="1"/>
  <c r="Q15" i="4"/>
  <c r="R15" i="4" s="1"/>
  <c r="Q19" i="5"/>
  <c r="R19" i="5" s="1"/>
  <c r="F41" i="3"/>
  <c r="Q36" i="4"/>
  <c r="R36" i="4" s="1"/>
  <c r="F13" i="3"/>
  <c r="H13" i="3"/>
  <c r="F17" i="3"/>
  <c r="H17" i="3"/>
  <c r="F21" i="3"/>
  <c r="H21" i="3"/>
  <c r="F14" i="3"/>
  <c r="H14" i="3"/>
  <c r="H18" i="3"/>
  <c r="F15" i="3"/>
  <c r="H15" i="3"/>
  <c r="F19" i="3"/>
  <c r="H19" i="3"/>
  <c r="F37" i="3"/>
  <c r="H28" i="3"/>
  <c r="H16" i="3"/>
  <c r="F20" i="3"/>
  <c r="B1" i="3"/>
  <c r="B1" i="5"/>
  <c r="B1" i="4"/>
  <c r="X37" i="6"/>
  <c r="V37" i="6"/>
  <c r="W37" i="6" s="1"/>
  <c r="X49" i="6"/>
  <c r="V49" i="6"/>
  <c r="W49" i="6" s="1"/>
  <c r="X53" i="6"/>
  <c r="V53" i="6"/>
  <c r="W53" i="6" s="1"/>
  <c r="X61" i="6"/>
  <c r="V61" i="6"/>
  <c r="W61" i="6" s="1"/>
  <c r="V34" i="6"/>
  <c r="W34" i="6" s="1"/>
  <c r="X34" i="6"/>
  <c r="X42" i="6"/>
  <c r="V42" i="6"/>
  <c r="W42" i="6" s="1"/>
  <c r="V50" i="6"/>
  <c r="W50" i="6" s="1"/>
  <c r="X50" i="6"/>
  <c r="X62" i="6"/>
  <c r="V62" i="6"/>
  <c r="W62" i="6" s="1"/>
  <c r="X35" i="6"/>
  <c r="V35" i="6"/>
  <c r="W35" i="6" s="1"/>
  <c r="X43" i="6"/>
  <c r="V43" i="6"/>
  <c r="W43" i="6" s="1"/>
  <c r="X51" i="6"/>
  <c r="V51" i="6"/>
  <c r="W51" i="6" s="1"/>
  <c r="X63" i="6"/>
  <c r="V63" i="6"/>
  <c r="W63" i="6" s="1"/>
  <c r="X32" i="6"/>
  <c r="V32" i="6"/>
  <c r="W32" i="6" s="1"/>
  <c r="X44" i="6"/>
  <c r="V44" i="6"/>
  <c r="W44" i="6" s="1"/>
  <c r="X52" i="6"/>
  <c r="V52" i="6"/>
  <c r="W52" i="6" s="1"/>
  <c r="X64" i="6"/>
  <c r="V64" i="6"/>
  <c r="W64" i="6" s="1"/>
  <c r="X33" i="6"/>
  <c r="V33" i="6"/>
  <c r="W33" i="6" s="1"/>
  <c r="X41" i="6"/>
  <c r="V41" i="6"/>
  <c r="W41" i="6" s="1"/>
  <c r="X45" i="6"/>
  <c r="V45" i="6"/>
  <c r="W45" i="6" s="1"/>
  <c r="X57" i="6"/>
  <c r="V57" i="6"/>
  <c r="W57" i="6" s="1"/>
  <c r="X65" i="6"/>
  <c r="V65" i="6"/>
  <c r="W65" i="6" s="1"/>
  <c r="X38" i="6"/>
  <c r="V38" i="6"/>
  <c r="W38" i="6" s="1"/>
  <c r="X46" i="6"/>
  <c r="V46" i="6"/>
  <c r="W46" i="6" s="1"/>
  <c r="X54" i="6"/>
  <c r="V54" i="6"/>
  <c r="W54" i="6" s="1"/>
  <c r="X58" i="6"/>
  <c r="V58" i="6"/>
  <c r="W58" i="6" s="1"/>
  <c r="X31" i="6"/>
  <c r="V31" i="6"/>
  <c r="V39" i="6"/>
  <c r="W39" i="6" s="1"/>
  <c r="X39" i="6"/>
  <c r="X47" i="6"/>
  <c r="V47" i="6"/>
  <c r="W47" i="6" s="1"/>
  <c r="V55" i="6"/>
  <c r="W55" i="6" s="1"/>
  <c r="X55" i="6"/>
  <c r="X59" i="6"/>
  <c r="V59" i="6"/>
  <c r="W59" i="6" s="1"/>
  <c r="X36" i="6"/>
  <c r="V36" i="6"/>
  <c r="W36" i="6" s="1"/>
  <c r="X40" i="6"/>
  <c r="V40" i="6"/>
  <c r="W40" i="6" s="1"/>
  <c r="X48" i="6"/>
  <c r="V48" i="6"/>
  <c r="W48" i="6" s="1"/>
  <c r="X56" i="6"/>
  <c r="V56" i="6"/>
  <c r="W56" i="6" s="1"/>
  <c r="X60" i="6"/>
  <c r="V60" i="6"/>
  <c r="W60" i="6" s="1"/>
  <c r="O6" i="6"/>
  <c r="W6" i="6" s="1"/>
  <c r="X6" i="6" s="1"/>
  <c r="F25" i="5"/>
  <c r="H25" i="5"/>
  <c r="F32" i="5"/>
  <c r="H32" i="5"/>
  <c r="H26" i="5"/>
  <c r="F33" i="5"/>
  <c r="H33" i="5"/>
  <c r="F34" i="5"/>
  <c r="H34" i="5"/>
  <c r="H28" i="5"/>
  <c r="F29" i="5"/>
  <c r="H29" i="5"/>
  <c r="F25" i="4"/>
  <c r="K27" i="4" s="1"/>
  <c r="H25" i="4"/>
  <c r="Q25" i="4" s="1"/>
  <c r="R25" i="4" s="1"/>
  <c r="F37" i="4"/>
  <c r="H37" i="4"/>
  <c r="H13" i="4"/>
  <c r="H48" i="4"/>
  <c r="F49" i="4"/>
  <c r="H49" i="4"/>
  <c r="H26" i="4"/>
  <c r="Q26" i="4" s="1"/>
  <c r="R26" i="4" s="1"/>
  <c r="F28" i="5"/>
  <c r="I66" i="6"/>
  <c r="F13" i="5"/>
  <c r="F19" i="5"/>
  <c r="F26" i="5"/>
  <c r="F31" i="5"/>
  <c r="F13" i="4"/>
  <c r="F48" i="4"/>
  <c r="F18" i="3"/>
  <c r="F16" i="3"/>
  <c r="H37" i="3"/>
  <c r="F38" i="4"/>
  <c r="F28" i="3"/>
  <c r="K31" i="3" s="1"/>
  <c r="F36" i="4"/>
  <c r="F43" i="4"/>
  <c r="F15" i="5"/>
  <c r="H14" i="5"/>
  <c r="H17" i="5"/>
  <c r="F15" i="4"/>
  <c r="F20" i="4"/>
  <c r="F27" i="5"/>
  <c r="I14" i="3" l="1"/>
  <c r="K50" i="4"/>
  <c r="K39" i="4"/>
  <c r="R35" i="3"/>
  <c r="Q37" i="3"/>
  <c r="R37" i="3" s="1"/>
  <c r="P37" i="3"/>
  <c r="K24" i="3"/>
  <c r="O66" i="6"/>
  <c r="C21" i="7" s="1"/>
  <c r="K35" i="5"/>
  <c r="F19" i="7" s="1"/>
  <c r="Q18" i="3"/>
  <c r="R18" i="3" s="1"/>
  <c r="Q29" i="5"/>
  <c r="R29" i="5" s="1"/>
  <c r="Q14" i="3"/>
  <c r="R14" i="3"/>
  <c r="Q28" i="5"/>
  <c r="R28" i="5" s="1"/>
  <c r="Q21" i="3"/>
  <c r="R21" i="3" s="1"/>
  <c r="P27" i="4"/>
  <c r="Q32" i="5"/>
  <c r="R32" i="5" s="1"/>
  <c r="Q15" i="3"/>
  <c r="R15" i="3"/>
  <c r="Q25" i="5"/>
  <c r="R25" i="5"/>
  <c r="Q34" i="5"/>
  <c r="R34" i="5" s="1"/>
  <c r="R24" i="4"/>
  <c r="Q27" i="4"/>
  <c r="Q13" i="4"/>
  <c r="P16" i="4"/>
  <c r="F27" i="4"/>
  <c r="Q49" i="4"/>
  <c r="R49" i="4" s="1"/>
  <c r="Q16" i="3"/>
  <c r="R16" i="3" s="1"/>
  <c r="Q17" i="3"/>
  <c r="R17" i="3" s="1"/>
  <c r="Q26" i="5"/>
  <c r="R26" i="5" s="1"/>
  <c r="Q19" i="3"/>
  <c r="R19" i="3" s="1"/>
  <c r="R31" i="4"/>
  <c r="Q17" i="5"/>
  <c r="R17" i="5" s="1"/>
  <c r="K16" i="4"/>
  <c r="I49" i="4"/>
  <c r="Q33" i="5"/>
  <c r="R33" i="5" s="1"/>
  <c r="Q28" i="3"/>
  <c r="P31" i="3"/>
  <c r="I15" i="3"/>
  <c r="I19" i="3"/>
  <c r="H27" i="4"/>
  <c r="I17" i="3"/>
  <c r="I28" i="3"/>
  <c r="I20" i="3"/>
  <c r="H20" i="3"/>
  <c r="H24" i="3" s="1"/>
  <c r="H31" i="3"/>
  <c r="I16" i="3"/>
  <c r="I21" i="3"/>
  <c r="I18" i="3"/>
  <c r="F31" i="3"/>
  <c r="I13" i="3"/>
  <c r="I29" i="5"/>
  <c r="I32" i="5"/>
  <c r="I25" i="5"/>
  <c r="I28" i="5"/>
  <c r="I25" i="4"/>
  <c r="W31" i="6"/>
  <c r="W66" i="6" s="1"/>
  <c r="V66" i="6"/>
  <c r="G21" i="7" s="1"/>
  <c r="I34" i="5"/>
  <c r="I33" i="5"/>
  <c r="I26" i="5"/>
  <c r="F50" i="4"/>
  <c r="I48" i="4"/>
  <c r="F16" i="4"/>
  <c r="H16" i="4"/>
  <c r="I13" i="4"/>
  <c r="H39" i="4"/>
  <c r="H50" i="4"/>
  <c r="I37" i="4"/>
  <c r="F39" i="4"/>
  <c r="F35" i="5"/>
  <c r="F24" i="3"/>
  <c r="H35" i="5"/>
  <c r="K54" i="4" l="1"/>
  <c r="F17" i="7" s="1"/>
  <c r="X66" i="6"/>
  <c r="R27" i="4"/>
  <c r="C19" i="7"/>
  <c r="Q13" i="3"/>
  <c r="P50" i="4"/>
  <c r="Q48" i="4"/>
  <c r="Q14" i="5"/>
  <c r="P35" i="5"/>
  <c r="G19" i="7" s="1"/>
  <c r="Q37" i="4"/>
  <c r="P39" i="4"/>
  <c r="Q20" i="3"/>
  <c r="R20" i="3" s="1"/>
  <c r="R28" i="3"/>
  <c r="Q31" i="3"/>
  <c r="R31" i="3" s="1"/>
  <c r="R13" i="4"/>
  <c r="Q16" i="4"/>
  <c r="H45" i="3"/>
  <c r="K45" i="3"/>
  <c r="F45" i="3"/>
  <c r="F54" i="4"/>
  <c r="H54" i="4"/>
  <c r="C17" i="7" s="1"/>
  <c r="P54" i="4" l="1"/>
  <c r="G17" i="7" s="1"/>
  <c r="C16" i="7"/>
  <c r="C22" i="7" s="1"/>
  <c r="Q39" i="4"/>
  <c r="R39" i="4" s="1"/>
  <c r="R37" i="4"/>
  <c r="Q35" i="5"/>
  <c r="R35" i="5" s="1"/>
  <c r="R14" i="5"/>
  <c r="Q50" i="4"/>
  <c r="R50" i="4" s="1"/>
  <c r="R48" i="4"/>
  <c r="P24" i="3"/>
  <c r="P45" i="3" s="1"/>
  <c r="G16" i="7" s="1"/>
  <c r="R13" i="3"/>
  <c r="Q24" i="3"/>
  <c r="F16" i="7"/>
  <c r="R16" i="4"/>
  <c r="R24" i="3" l="1"/>
  <c r="Q45" i="3"/>
  <c r="R45" i="3" s="1"/>
  <c r="Q54" i="4"/>
  <c r="R54" i="4" s="1"/>
  <c r="F22" i="7"/>
  <c r="D41" i="7"/>
  <c r="D34" i="7"/>
  <c r="D27" i="7"/>
  <c r="D26" i="7"/>
  <c r="G22" i="7" l="1"/>
  <c r="D32" i="7"/>
  <c r="D33" i="7" s="1"/>
  <c r="C33" i="7" s="1"/>
  <c r="D28" i="7"/>
  <c r="C32" i="7" l="1"/>
  <c r="C34" i="7" s="1"/>
  <c r="D39" i="7"/>
  <c r="C39" i="7" s="1"/>
  <c r="D38" i="7"/>
  <c r="C38" i="7" s="1"/>
  <c r="D40" i="7" l="1"/>
  <c r="C40" i="7" s="1"/>
  <c r="C41" i="7" l="1"/>
</calcChain>
</file>

<file path=xl/sharedStrings.xml><?xml version="1.0" encoding="utf-8"?>
<sst xmlns="http://schemas.openxmlformats.org/spreadsheetml/2006/main" count="572" uniqueCount="284">
  <si>
    <t xml:space="preserve">גירסה  עדכנית  לתאריך  </t>
  </si>
  <si>
    <t>שאלון למילוי ע"י  מגיש הבקשה:</t>
  </si>
  <si>
    <t>פרטי הגוף המבקש</t>
  </si>
  <si>
    <t>תאריך הגשת הבקשה:</t>
  </si>
  <si>
    <t>שם הגוף המבקש:</t>
  </si>
  <si>
    <t>כתובת הגוף המבקש:</t>
  </si>
  <si>
    <t>איש קשר בגוף המבקש:</t>
  </si>
  <si>
    <t>טלפון איש קשר בגוף המבקש:</t>
  </si>
  <si>
    <t>מייל איש קשר בגוף המבקש:</t>
  </si>
  <si>
    <t>פרטי המסגרת</t>
  </si>
  <si>
    <t>שם המסגרת:</t>
  </si>
  <si>
    <t>כתובת המסגרת:</t>
  </si>
  <si>
    <t>איש קשר במסגרת:</t>
  </si>
  <si>
    <t>טלפון איש קשר במסגרת:</t>
  </si>
  <si>
    <t>מייל איש קשר במסגרת:</t>
  </si>
  <si>
    <t>מאפייני המקום</t>
  </si>
  <si>
    <t>דירוג סוציואקונומי של הישוב:</t>
  </si>
  <si>
    <t>לא נקבע עפ"י זה- לתקן נוסחה</t>
  </si>
  <si>
    <t>קו עימות:</t>
  </si>
  <si>
    <t>מספר חדרי קבוצות כולל חדרי פעילות וסדנאות:</t>
  </si>
  <si>
    <t>הערות והסברים למילוי הבקשה:</t>
  </si>
  <si>
    <t>נא למלא את השאלון לעיל לפני מעבר לכתב הכמויות</t>
  </si>
  <si>
    <t>כל המחירים והעלויות להלן נקובים בש"ח  וכוללים מע"מ.</t>
  </si>
  <si>
    <t>התקנת חלק מהציוד דורשת עבודות פיתוח, תשתיות ושיפוץ. במסגרת התקן לא ינתן מימון לעבודות הנ"ל</t>
  </si>
  <si>
    <t>המחירים כוללים הובלה והתקנה של הציוד</t>
  </si>
  <si>
    <t xml:space="preserve"> ציוד וריהוט לחדרי קבוצות  </t>
  </si>
  <si>
    <t xml:space="preserve">ציוד </t>
  </si>
  <si>
    <t xml:space="preserve">כמות תקן   </t>
  </si>
  <si>
    <t>כמות הציוד המבוקש</t>
  </si>
  <si>
    <t>התראת חריגה</t>
  </si>
  <si>
    <t>שיעור ההפרש</t>
  </si>
  <si>
    <t>הערות</t>
  </si>
  <si>
    <t>סך ציוד וריהוט לחדר קבוצה</t>
  </si>
  <si>
    <t xml:space="preserve">מדפסת משולבת </t>
  </si>
  <si>
    <t>סך מחשבים וציוד מולטימדיה</t>
  </si>
  <si>
    <t>סך</t>
  </si>
  <si>
    <t xml:space="preserve">כמות    </t>
  </si>
  <si>
    <t xml:space="preserve">מחיר ליחידה   </t>
  </si>
  <si>
    <t>עלות הציוד</t>
  </si>
  <si>
    <t xml:space="preserve">סך עלות הציוד המבוקש  </t>
  </si>
  <si>
    <t>*</t>
  </si>
  <si>
    <t>סך ריהוט וציוד חללים משותפים</t>
  </si>
  <si>
    <t>סך ציוד מולטימדיה</t>
  </si>
  <si>
    <t>שואב אבק תעשייתי</t>
  </si>
  <si>
    <t>סולם</t>
  </si>
  <si>
    <t>סך ציוד אחזקת המתחם</t>
  </si>
  <si>
    <t>דיפיבריליאטור</t>
  </si>
  <si>
    <t xml:space="preserve">תיק עזרה ראשונה  </t>
  </si>
  <si>
    <t xml:space="preserve">ארון תרופות </t>
  </si>
  <si>
    <t xml:space="preserve">עלות ציוד התקן </t>
  </si>
  <si>
    <t xml:space="preserve">עלות הציוד המבוקש </t>
  </si>
  <si>
    <t>ציוד מטבח מחמם ואזור אכילה</t>
  </si>
  <si>
    <t>מקפיא</t>
  </si>
  <si>
    <t>מעבד מזון מקצועי</t>
  </si>
  <si>
    <t>מיקרוגל</t>
  </si>
  <si>
    <t>עגלת הגשה</t>
  </si>
  <si>
    <t>יש לרשום 2 הצעות מחיר לציוד בעלות עד 20,000 ₪ ו-3 הצעות מחיר לסכום גבוה יותר</t>
  </si>
  <si>
    <t>ראה הערות בסוף הטבלה</t>
  </si>
  <si>
    <t>תחום פעילות/ קבוצת ההוצאות</t>
  </si>
  <si>
    <t>פירוט הציוד/הפריט</t>
  </si>
  <si>
    <t>תיאור הצורך בפריט/בציוד</t>
  </si>
  <si>
    <t>כמות מבוקשת</t>
  </si>
  <si>
    <t>הצעת מחיר א'</t>
  </si>
  <si>
    <t xml:space="preserve">הצעת מחיר ב' </t>
  </si>
  <si>
    <t xml:space="preserve">הצעת מחיר ג' </t>
  </si>
  <si>
    <t xml:space="preserve">סך עלות הבקשה </t>
  </si>
  <si>
    <t>בקשת מחיר חריג</t>
  </si>
  <si>
    <t>הערות הגוף המבקש</t>
  </si>
  <si>
    <t>אישור כמות</t>
  </si>
  <si>
    <t>כמות מאושרת</t>
  </si>
  <si>
    <t>אישור מחיר חריג</t>
  </si>
  <si>
    <t>תקציב מאושר</t>
  </si>
  <si>
    <t>הערות מנהל/ת התוכנית</t>
  </si>
  <si>
    <t>סה"כ ציוד יעודי</t>
  </si>
  <si>
    <t>הערות והסברים לגוף המבקש:</t>
  </si>
  <si>
    <t>הערות והסברים למנהל/ת התכנית:</t>
  </si>
  <si>
    <t>יש לרשום 2 הצעות מחיר לציוד בעלות עד 20,000 ₪ ו-3 הצעות מחיר לסכום גבוה יותר.</t>
  </si>
  <si>
    <t xml:space="preserve">בשלב הראשון מאשרים את כמות הציוד: אם בוחרים "מאושר" הכמות תתעדכן לפי כמות הבקשה, במקרים אחרים - 0. במקרה בחירת "מאושר חלקי" יש לרשום את הכמות המאושרת. </t>
  </si>
  <si>
    <t>התוכנה באופן אוטומטי מחשבת את עלות הציוד לפי ההצעה הזולה.</t>
  </si>
  <si>
    <t>חשוב לציין שכאשר בכל מקום בעמודה "כמות מאושרת" מעדכנים מספרים באופן ידני הנוסחה שרשומה בתא הנבחר נמחקת.</t>
  </si>
  <si>
    <t>אם יש צורך בהזמנת ציוד יקר יותר נא לבחור את ההצעה הרצויה בעמודה "בקשת מחיר חריג" ועלות הציוד תחושב לפי ההצעה הנבחרת.</t>
  </si>
  <si>
    <t>בשלב השני מאשרים מחירים חריגים: אם הגוף בוחר הצעה זולה אין להתייחס לעמודה הזאת. אם ישנה בקשה חריגה אישור הבקשה בוחר מחיר מבוקש. חוסר אישור בוחר את ההצעה הזולה.</t>
  </si>
  <si>
    <t>אם בוחרים ציוד לפי ההצעה הגבוה מהמינימלית יש לתת הסבר בשדה הערות.</t>
  </si>
  <si>
    <t>דו"ח סיכום פרויקט בקשת הצטיידות</t>
  </si>
  <si>
    <t>מימון מקסימלי של ביטוח לאומי עד</t>
  </si>
  <si>
    <t>מימון מקסימלי של קרן שלם עד</t>
  </si>
  <si>
    <t>השתתפות עצמית מינימלית</t>
  </si>
  <si>
    <t>קטגוריית ציוד</t>
  </si>
  <si>
    <t>סה"כ לפרוייקט</t>
  </si>
  <si>
    <t>גורם מממן</t>
  </si>
  <si>
    <t>אחוז מימון</t>
  </si>
  <si>
    <t xml:space="preserve">סכום מימון </t>
  </si>
  <si>
    <t>מימון עצמי</t>
  </si>
  <si>
    <t>סה"כ</t>
  </si>
  <si>
    <t>השתתפות ביטוח לאומי</t>
  </si>
  <si>
    <t>השתתפות קרן שלם</t>
  </si>
  <si>
    <t>מספר האנשים שעבורם מיועד הפרויקט (בין 20 ל-25):</t>
  </si>
  <si>
    <t>כמויות התקן משתנות בהתאם  למספר האנשים במסגרת ומספר חדרי קבוצות.</t>
  </si>
  <si>
    <t xml:space="preserve">כל  המחירים והעלויות להלן  נקובים  בש"ח  וכוללים  מע"מ  </t>
  </si>
  <si>
    <t>ציוד וריהוט חדרי קבוצות - תקן</t>
  </si>
  <si>
    <t>ציוד חדרי קבוצות - בקשה</t>
  </si>
  <si>
    <t xml:space="preserve">מס'  </t>
  </si>
  <si>
    <t xml:space="preserve">מחיר התקן ליחידה כולל מע"מ   </t>
  </si>
  <si>
    <t>עלות ציוד התקן כולל מע"מ</t>
  </si>
  <si>
    <t xml:space="preserve">סך עלות הציוד המבוקש כולל מע"מ  </t>
  </si>
  <si>
    <t>הערות/ הסבר חריגות</t>
  </si>
  <si>
    <t>צפי עלות רכישה כולל מע"מ</t>
  </si>
  <si>
    <t>מחשבים וציוד מולטימדיה לחדרי קבוצות - תקן</t>
  </si>
  <si>
    <t>מחשבים וציוד מולטימדיה לחדרי קבוצות - בקשה</t>
  </si>
  <si>
    <t>ציוד גן, חצר ומרפסות - תקן</t>
  </si>
  <si>
    <t>ציוד גן, חצר ומרפסות - בקשה</t>
  </si>
  <si>
    <t xml:space="preserve">סך ציוד גן, חצר ומרפסות  </t>
  </si>
  <si>
    <t>ציוד סניטריה לחדרי שרותים - תקן</t>
  </si>
  <si>
    <t>ציוד סניטריה לחדרי שרותים - בקשה</t>
  </si>
  <si>
    <t>סה"כ  וכולל מע"מ</t>
  </si>
  <si>
    <t>ציוד תעסוקה/ סדנאות - בקשה</t>
  </si>
  <si>
    <t>מס'</t>
  </si>
  <si>
    <t>הערות:</t>
  </si>
  <si>
    <t>ריהוט וציוד חללים משותפים  - תקן</t>
  </si>
  <si>
    <t>ריהוט וציוד חללים משותפים  - בקשה</t>
  </si>
  <si>
    <t>שירותי אדריכלות ועיצוב פנים - תקן</t>
  </si>
  <si>
    <t>שירותי אדריכלות ועיצוב פנים - בקשה</t>
  </si>
  <si>
    <t>ציוד מולטימדיה כללי - תקן</t>
  </si>
  <si>
    <t>ציוד מולטימדיה כללי - בקשה</t>
  </si>
  <si>
    <t>ציוד אחזקת המתחם - תקן</t>
  </si>
  <si>
    <t>ציוד אחזקת המתחם  - בקשה</t>
  </si>
  <si>
    <t>ציוד אבטחה ובטיחות - תקן</t>
  </si>
  <si>
    <t>ציוד אבטחה ובטיחות - בקשה</t>
  </si>
  <si>
    <t>ציוד עזרה ראשונה, ציוד מציל חיים וציוד חרום - תקן</t>
  </si>
  <si>
    <t>ציוד עזרה ראשונה, ציוד מציל חיים וציוד חרום - בקשה</t>
  </si>
  <si>
    <t>סך ציוד עזרה ראשונה, מציל חיים וציוד חרום</t>
  </si>
  <si>
    <t>ציוד מטבח מחמם ואזור אכילה - תקן</t>
  </si>
  <si>
    <t>ציוד מטבח מחמם  - בקשה</t>
  </si>
  <si>
    <t xml:space="preserve">ציוד: במידה והמטבח אינו בחלל נפרד, ניתן לבקש ציוד רק בהיקף של מחצית  מהעלות לעיל </t>
  </si>
  <si>
    <t xml:space="preserve">עגלת חימום / קרור </t>
  </si>
  <si>
    <t>סה"כ ציוד מטבח מחמם ואזור אכילה</t>
  </si>
  <si>
    <t>תקן ציוד כללי בסיסי למרכזי פעילות יומית לאנשים עם מוגבלות- מרחבים</t>
  </si>
  <si>
    <t>רקע:</t>
  </si>
  <si>
    <t>בעשור  האחרון חל פיתוח מואץ, בהקמת מסגרות יום  בקהילה, עבור אנשים בוגרים (21+) עם מוגבלות, מתוך תפיסה הדוגלת בשילובם בקהילה, ובמתן פתרונות ומענים מגוונים, לבחירה של הפרט ובני משפחתו.</t>
  </si>
  <si>
    <t>במסגרת ניתנים: פעילות יומית, שירותי תמיכה וטיפול, העשרה ופנאי מגוונים בשעות היום.</t>
  </si>
  <si>
    <t>מסמך זה נועד לפשט את תהליך הגשת הבקשות לקרנות לסיוע במימון ציוד בסיסי למרכזי פעילות יומית- מרחבים.</t>
  </si>
  <si>
    <t>מטרת המסמך:</t>
  </si>
  <si>
    <t>קביעת תקן ריהוט וציוד כללי בסיסי, למרכזי פעילות יומית- מרחבים.</t>
  </si>
  <si>
    <t xml:space="preserve">מדובר  באוכלוסייה הזקוקה  לתמיכות רבות  בחיי  היום – יום. המסגרות מוכרות ומתוקצבות ע"י משרד העבודה והרווחה והשרותים החברתיים. </t>
  </si>
  <si>
    <t>המסמך נועד:</t>
  </si>
  <si>
    <t>א.    להגדיר תחומי והיקף הסיוע  של  הקרן  עבור הציוד  הנדרש למסגרות.</t>
  </si>
  <si>
    <t>ב.    לסייע לאנשי מקצוע למקד את הצרכים בציוד בעת הקמת מסגרת חדשה או בשדרוג מסגרת קיימת.</t>
  </si>
  <si>
    <t xml:space="preserve">ג.    לקבוע  מסגרת  תקציבית  בהתאם לגודל וסוג המסגרת.  </t>
  </si>
  <si>
    <t>הציוד לסדנאות כולל ריהוט מתאים: כיסאות, שולחנות וארונות המותאמים לכמות האנשים בסדנה.</t>
  </si>
  <si>
    <t>הציוד לסדנאות לא יכלול ציוד מתכלה.</t>
  </si>
  <si>
    <t>בקשת הריהוט והציוד תוגש באמצעות קובץ האקסל המצורף למסמך זה. יש לסמן את הריהוט והציוד המבוקש על גבי הטבלאות.</t>
  </si>
  <si>
    <t>* יש לתת עדיפות לרכישת פריטים מתוצרת הארץ.</t>
  </si>
  <si>
    <t>* ברכישת הציוד יש להיצמד למחירים המופיעים בתקן.</t>
  </si>
  <si>
    <t>*  הטבלה כוללת עלויות הובלה והתקנת הציוד.</t>
  </si>
  <si>
    <t xml:space="preserve">*  הציוד המבוקש צריך להיות מתאים למטרות ותפעול המסגרת, מספר האנשים, כמות ומידות החדרים והחללים, ולשטח החצרות. </t>
  </si>
  <si>
    <t>*  בתכנון הרכש יש להתייחס לתקני איכות ובטיחות עדכניים.</t>
  </si>
  <si>
    <t xml:space="preserve">*  התקן נקוב בש"ח וכולל מע"מ. </t>
  </si>
  <si>
    <t>מבקש הציוד מתבקש למלא תחילה את ה"שאלון למילוי מגיש הבקשה"  במלואו.</t>
  </si>
  <si>
    <t>אחוז מימון מקסימלי: ביטוח לאומי וקרן שלם</t>
  </si>
  <si>
    <t>השתתפות מקסימלית של ביטוח לאומי וקרן שלם</t>
  </si>
  <si>
    <t>מימון לפי אחוז השתתפות עצמית מינימלית</t>
  </si>
  <si>
    <t>מימון לפי תקציב מוסדות מקסימלי</t>
  </si>
  <si>
    <t>פירוט מימון הפרויקט</t>
  </si>
  <si>
    <t xml:space="preserve">סך בקשת הגוף בשלב 1 </t>
  </si>
  <si>
    <t xml:space="preserve">סך הוצאה בפועל </t>
  </si>
  <si>
    <t>שלב  1</t>
  </si>
  <si>
    <t>דוח הוצאות כספי מפורט - שלבים 2 ואילך</t>
  </si>
  <si>
    <t>שם הספק</t>
  </si>
  <si>
    <t>פירוט מהות ההוצאה -   הציוד שנרכש / השרות שניתן</t>
  </si>
  <si>
    <t>מס' חשבונית מס / קבלה</t>
  </si>
  <si>
    <t>תאריך הוצאה</t>
  </si>
  <si>
    <t>סכום הוצאה בש"ח וכולל מע"מ</t>
  </si>
  <si>
    <t>סכום חריגה מהתקציב - הפרש בין הסכום שנרכש בפועל לעלות שאושרה בהסכם</t>
  </si>
  <si>
    <t>הערות לחריגה</t>
  </si>
  <si>
    <t>בדיקה והערות של היועץ מתאריך</t>
  </si>
  <si>
    <t>נבדק בשלב 2/3</t>
  </si>
  <si>
    <t>מודל מרחבים, מיועד לאנשים עם מוגבלות הזקוקים לרמות תמיכה בינוניות וגבוהות, מגיל  21 ומעלה.</t>
  </si>
  <si>
    <r>
      <t xml:space="preserve">*     תקן הציוד מחולק לגליונות ונקבע לפי </t>
    </r>
    <r>
      <rPr>
        <u/>
        <sz val="11"/>
        <rFont val="Cambria"/>
        <family val="1"/>
        <scheme val="major"/>
      </rPr>
      <t>מספר האנשים במסגרת</t>
    </r>
    <r>
      <rPr>
        <sz val="11"/>
        <rFont val="Cambria"/>
        <family val="1"/>
        <scheme val="major"/>
      </rPr>
      <t xml:space="preserve">  ו/או </t>
    </r>
    <r>
      <rPr>
        <u/>
        <sz val="11"/>
        <rFont val="Cambria"/>
        <family val="1"/>
        <scheme val="major"/>
      </rPr>
      <t>מספר חדרי פעילות / סדנאות</t>
    </r>
    <r>
      <rPr>
        <sz val="11"/>
        <rFont val="Cambria"/>
        <family val="1"/>
        <scheme val="major"/>
      </rPr>
      <t>.</t>
    </r>
  </si>
  <si>
    <t xml:space="preserve"> *   התקן כולל תקציב המיועד לקבלת שירותי עיצוב פנים על מנת לתת חזות נאה נעימה ואסתטית לפנים המבנה.  </t>
  </si>
  <si>
    <t xml:space="preserve">*   סדנאות - התקן מאפשר בחירה בין  מגוון  סדנאות ובהתאם לתוכנית ההפעלה של המסגרת. </t>
  </si>
  <si>
    <t>הנחיות להגשת הבקשה:</t>
  </si>
  <si>
    <t>כיריים חשמליות 4 להבות</t>
  </si>
  <si>
    <t>תנור אפייה וחימום</t>
  </si>
  <si>
    <t xml:space="preserve">מקרר תעשייתי </t>
  </si>
  <si>
    <t>מיקסר מקצועי</t>
  </si>
  <si>
    <t>סט כלי אוכל</t>
  </si>
  <si>
    <t>לפי 500 ₪ לאדם כולל צוות טיפולי</t>
  </si>
  <si>
    <t>סט כלי מטבח</t>
  </si>
  <si>
    <t>כסא</t>
  </si>
  <si>
    <t xml:space="preserve">בהתאם לכמות האנשים במסגרת כולל צוות טיפולי </t>
  </si>
  <si>
    <t xml:space="preserve">שולחן </t>
  </si>
  <si>
    <t>עבור  הסדנאות,  במסגרת דוח הפעילות נדרש  להעביר פירוט  הכולל:  שם הסדנה, תכנים, תדירות הפעילות, כמות משתתפים מתוכננת  וכמות והכשרת הצוות המפעיל.</t>
  </si>
  <si>
    <t>כאן עליך לדווח את שמות הסדנאות בלבד</t>
  </si>
  <si>
    <t>הציוד לסדנאות כולל ריהוט מתאים - כיסאות, שולחנות, מדפים</t>
  </si>
  <si>
    <t>ציוד תעסוקה/ סדנאות - תקן</t>
  </si>
  <si>
    <t>שם הסדנאות</t>
  </si>
  <si>
    <t xml:space="preserve">עלות ציוד התקן לפי מטבח מבשל </t>
  </si>
  <si>
    <t xml:space="preserve">סכום חריגה </t>
  </si>
  <si>
    <t>סה"כ כולל מע"מ</t>
  </si>
  <si>
    <t>עבור  הסדנאות,  נדרש  להעביר פירוט  הכולל:  שם הסדנה, תכנים, תדירות הפעילות, כמות משתתפים מתוכננת  וכמות והכשרת הצוות המפעיל.</t>
  </si>
  <si>
    <t>ציוד חדר מנהל/ת - תקן</t>
  </si>
  <si>
    <t>ציוד חדר מנהל/ת  - בקשה</t>
  </si>
  <si>
    <t>לפי מספר חדרים</t>
  </si>
  <si>
    <t>שולחן משרדי</t>
  </si>
  <si>
    <t>ארון איחסון</t>
  </si>
  <si>
    <t>מחשב קומפלט</t>
  </si>
  <si>
    <t>מדפסת משולבת</t>
  </si>
  <si>
    <t>מגרסת נייר</t>
  </si>
  <si>
    <t>מקרר קטן</t>
  </si>
  <si>
    <t>אביזרים לחדר משרדי</t>
  </si>
  <si>
    <t xml:space="preserve">כיסא  </t>
  </si>
  <si>
    <t>כיסא אורחים, לפי מספר חדרים</t>
  </si>
  <si>
    <t>סה"כ ציוד צוות כולל מע"מ</t>
  </si>
  <si>
    <t xml:space="preserve">טבלת עזר לחדרי הצוות/ הנחת יסוד לפי גודל המתחם </t>
  </si>
  <si>
    <t xml:space="preserve">פירוט חדרי המשרד כולל עמדת מזכירות </t>
  </si>
  <si>
    <t xml:space="preserve"> מס' חדרי המשרד </t>
  </si>
  <si>
    <t>חדר המנהל/ ת</t>
  </si>
  <si>
    <t>עמדת מזכירות</t>
  </si>
  <si>
    <t>חדר צוות טיפולי</t>
  </si>
  <si>
    <t>סה"כ חדרי צוות במסגרת</t>
  </si>
  <si>
    <t>ציוד צוות</t>
  </si>
  <si>
    <t>ציוד תעסוקה / סדנאות</t>
  </si>
  <si>
    <t xml:space="preserve">הנחיות והערות למילוי הבקשה </t>
  </si>
  <si>
    <t>הנחיות והערות למילוי הבקשה</t>
  </si>
  <si>
    <t xml:space="preserve"> ציוד יעודי שלא נמצא בתקן </t>
  </si>
  <si>
    <t xml:space="preserve">ציוד כללי לחללים משותפים וציוד נוסף </t>
  </si>
  <si>
    <t xml:space="preserve">פינת ישיבה </t>
  </si>
  <si>
    <t>מדפים</t>
  </si>
  <si>
    <t xml:space="preserve">אביזרי עיצוב  </t>
  </si>
  <si>
    <t>מערכת הקרנה ומסך חשמלי</t>
  </si>
  <si>
    <t xml:space="preserve">מחשב קומפלט </t>
  </si>
  <si>
    <t xml:space="preserve">ציוד הגברה </t>
  </si>
  <si>
    <t>מכונת שטיפת רצפות</t>
  </si>
  <si>
    <t xml:space="preserve">מכונת כביסה </t>
  </si>
  <si>
    <t>מייבש כביסה</t>
  </si>
  <si>
    <t xml:space="preserve">ארגז כלי עבודה </t>
  </si>
  <si>
    <t xml:space="preserve">סט כלים לתחזוקת גינה  </t>
  </si>
  <si>
    <t>לפי מס' חדרים בתוספת 30% לחללים משותפים</t>
  </si>
  <si>
    <t>אחד לעשרה אנשים</t>
  </si>
  <si>
    <t>טלוויזיה כולל מגן</t>
  </si>
  <si>
    <t xml:space="preserve">שמשיה  </t>
  </si>
  <si>
    <t xml:space="preserve">פינת ישיבה למרפסת </t>
  </si>
  <si>
    <t xml:space="preserve">כסא </t>
  </si>
  <si>
    <t>לפי מספר מקבלי שירות והצוות הטיפולי</t>
  </si>
  <si>
    <t xml:space="preserve">שולחן מחשב </t>
  </si>
  <si>
    <t>לפי 4 אנשים לשולחן כולל צוות טיפולי</t>
  </si>
  <si>
    <t xml:space="preserve">כורסא </t>
  </si>
  <si>
    <t xml:space="preserve">ארון איחסון </t>
  </si>
  <si>
    <t xml:space="preserve">לוקרים </t>
  </si>
  <si>
    <t>כמות תאים לפי מס' אנשים בתוספת 10%</t>
  </si>
  <si>
    <t>לפי מספר חדרים בתוספת אחד לחללים משותפים</t>
  </si>
  <si>
    <t>מראה</t>
  </si>
  <si>
    <t xml:space="preserve">שעון קיר </t>
  </si>
  <si>
    <t xml:space="preserve">וילונות חסיני אש </t>
  </si>
  <si>
    <t xml:space="preserve">לפי 6000 ש' לחדר פעילות ובתוספת 50% לחללים משותפים </t>
  </si>
  <si>
    <t>לפי מספר חדרים בתוספת 30% לחללים משותפים</t>
  </si>
  <si>
    <t>שילוט פנימי</t>
  </si>
  <si>
    <t>אישור מנהל/ ת התוכנית</t>
  </si>
  <si>
    <t>סך בקשת הגוף שאושרה ע"י מנהל/ת התכנית כולל מע"מ</t>
  </si>
  <si>
    <t>שירותי עיצוב פנים</t>
  </si>
  <si>
    <t>ציוד סדנאות</t>
  </si>
  <si>
    <t xml:space="preserve"> סט ציוד לסדנאות: סדנאות חובה-פעילות גופנית ועוד 1-2 לבחירתכם.  (לפי גודל המסגרת) *</t>
  </si>
  <si>
    <r>
      <t xml:space="preserve">מבקש  הציוד  מתבקש למלא  </t>
    </r>
    <r>
      <rPr>
        <u/>
        <sz val="11"/>
        <rFont val="Cambria"/>
        <family val="1"/>
        <scheme val="major"/>
      </rPr>
      <t>רק</t>
    </r>
    <r>
      <rPr>
        <sz val="11"/>
        <rFont val="Cambria"/>
        <family val="1"/>
        <scheme val="major"/>
      </rPr>
      <t xml:space="preserve">  את  התאים  הממורקרים </t>
    </r>
    <r>
      <rPr>
        <sz val="11"/>
        <rFont val="Cambria"/>
        <family val="1"/>
      </rPr>
      <t>בצהוב</t>
    </r>
    <r>
      <rPr>
        <sz val="11"/>
        <rFont val="Cambria"/>
        <family val="1"/>
        <scheme val="major"/>
      </rPr>
      <t xml:space="preserve"> בלבד.</t>
    </r>
  </si>
  <si>
    <t>יחידה לעשרה אנשים</t>
  </si>
  <si>
    <t>מצלמות אבטחה</t>
  </si>
  <si>
    <t>מערכת קומפלט כולל ציוד ועבודה. התחשיב: הוצאות קבועות 10,000 ₪  +  מספר כיתות כפול 1,500 ₪ כפול 3 לשטחים ציבוריים</t>
  </si>
  <si>
    <t>גודל כ- 3*2=6 מ"ר, כמות: אחד לעשרה אנשים</t>
  </si>
  <si>
    <t xml:space="preserve">עגלה עם מיכל אשפה  </t>
  </si>
  <si>
    <t xml:space="preserve">קומביסטימר </t>
  </si>
  <si>
    <t>מנדף</t>
  </si>
  <si>
    <t xml:space="preserve">מדיח כלים תעשייתי   </t>
  </si>
  <si>
    <t xml:space="preserve">מיחם מוסדי אוטומטי </t>
  </si>
  <si>
    <t>אביזרים לחדרי שירותים או רחצה</t>
  </si>
  <si>
    <t>כיסא מתכוונן</t>
  </si>
  <si>
    <t>הגוף המבקש מתבקש למלא פרטים רק בתאים המסומנים בצבע צהוב. אין לגעת בתאים אחרים.</t>
  </si>
  <si>
    <t>מבקש  הציוד  מתבקש למלא  רק  את  התאים  הממורקרים בצהוב.</t>
  </si>
  <si>
    <t>משטחי עבודה למטבח</t>
  </si>
  <si>
    <t>מתקן/ בר מים</t>
  </si>
  <si>
    <t xml:space="preserve">ארון אחסון </t>
  </si>
  <si>
    <t>עגלה עם מיכל אשפה</t>
  </si>
  <si>
    <t xml:space="preserve">בהתאם לכמות האנשים במסגרת כולל צוות טיפולי בתוספת 20% </t>
  </si>
  <si>
    <t>מרכך מים אוטומטי</t>
  </si>
  <si>
    <t>1.9.2026</t>
  </si>
  <si>
    <t xml:space="preserve">סדנאת חובה -פעילות גופנית ועוד 1-2 לבחירתכם.  והסכום הכולל  עד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</si>
</sst>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/d/yyyy"/>
    <numFmt numFmtId="165" formatCode="#,###,##0"/>
    <numFmt numFmtId="166" formatCode="_ * #,##0.00_ ;_ * \-#,##0.00_ ;_ * \-??_ ;_ @_ "/>
    <numFmt numFmtId="167" formatCode="#,###,##0.00"/>
    <numFmt numFmtId="168" formatCode="#,##0_ ;[Red]\-#,##0\ "/>
    <numFmt numFmtId="169" formatCode="dd/mm/yy"/>
    <numFmt numFmtId="170" formatCode="_ * #,##0_ ;_ * \-#,##0_ ;_ * \-??_ ;_ @_ "/>
    <numFmt numFmtId="171" formatCode="#,##0_);[Red]\(#,##0\)"/>
    <numFmt numFmtId="172" formatCode="&quot;₪&quot;\ #,##0"/>
    <numFmt numFmtId="173" formatCode="&quot;₪&quot;#,##0"/>
  </numFmts>
  <fonts count="49" x14ac:knownFonts="1">
    <font>
      <sz val="11"/>
      <color theme="1"/>
      <name val="Calibri"/>
      <family val="2"/>
      <charset val="177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u/>
      <sz val="11"/>
      <color theme="10"/>
      <name val="Arial"/>
      <family val="2"/>
      <charset val="177"/>
    </font>
    <font>
      <sz val="11"/>
      <color theme="1"/>
      <name val="Calibri"/>
      <family val="2"/>
      <charset val="177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C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u/>
      <sz val="11"/>
      <color theme="1"/>
      <name val="Times New Roman"/>
      <family val="1"/>
    </font>
    <font>
      <sz val="11"/>
      <color rgb="FFFF0000"/>
      <name val="Times New Roman"/>
      <family val="1"/>
    </font>
    <font>
      <u/>
      <sz val="11"/>
      <name val="Times New Roman"/>
      <family val="1"/>
    </font>
    <font>
      <b/>
      <i/>
      <sz val="11"/>
      <name val="Times New Roman"/>
      <family val="1"/>
    </font>
    <font>
      <b/>
      <u/>
      <sz val="11"/>
      <name val="Times New Roman"/>
      <family val="1"/>
    </font>
    <font>
      <sz val="11"/>
      <color rgb="FFC00000"/>
      <name val="Times New Roman"/>
      <family val="1"/>
    </font>
    <font>
      <sz val="11"/>
      <color theme="1"/>
      <name val="Times New Roman"/>
      <family val="1"/>
      <charset val="1"/>
    </font>
    <font>
      <sz val="11"/>
      <color rgb="FF0000CC"/>
      <name val="Times New Roman"/>
      <family val="1"/>
    </font>
    <font>
      <sz val="11"/>
      <color rgb="FF0000FF"/>
      <name val="Times New Roman"/>
      <family val="1"/>
    </font>
    <font>
      <b/>
      <u/>
      <sz val="11"/>
      <name val="Cambria"/>
      <family val="1"/>
      <scheme val="major"/>
    </font>
    <font>
      <sz val="11"/>
      <name val="Cambria"/>
      <family val="1"/>
      <scheme val="major"/>
    </font>
    <font>
      <u/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Times New Roman"/>
      <family val="2"/>
      <charset val="1"/>
    </font>
    <font>
      <sz val="11"/>
      <color theme="1"/>
      <name val="Times New Roman"/>
      <family val="2"/>
      <charset val="177"/>
    </font>
    <font>
      <b/>
      <sz val="11"/>
      <color theme="1"/>
      <name val="Times New Roman"/>
      <family val="1"/>
      <charset val="1"/>
    </font>
    <font>
      <sz val="10"/>
      <name val="Times New Roman"/>
      <family val="2"/>
      <charset val="1"/>
    </font>
    <font>
      <sz val="11"/>
      <name val="Times New Roman"/>
      <family val="1"/>
      <charset val="1"/>
    </font>
    <font>
      <sz val="11"/>
      <color theme="1"/>
      <name val="Times New Roman"/>
      <family val="2"/>
      <charset val="1"/>
    </font>
    <font>
      <sz val="11"/>
      <color rgb="FF0000CC"/>
      <name val="Times New Roman"/>
      <family val="1"/>
      <charset val="1"/>
    </font>
    <font>
      <sz val="11"/>
      <color rgb="FF0000FF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1"/>
      <color rgb="FF0000CC"/>
      <name val="Times New Roman"/>
      <family val="1"/>
      <charset val="177"/>
    </font>
    <font>
      <b/>
      <sz val="11"/>
      <color rgb="FF0000CC"/>
      <name val="Times New Roman"/>
      <family val="1"/>
    </font>
    <font>
      <sz val="11"/>
      <name val="Cambria"/>
      <family val="1"/>
      <charset val="1"/>
    </font>
    <font>
      <b/>
      <sz val="11"/>
      <name val="Times New Roman"/>
      <family val="1"/>
      <charset val="1"/>
    </font>
    <font>
      <b/>
      <sz val="11"/>
      <name val="Times New Roman"/>
      <family val="2"/>
      <charset val="1"/>
    </font>
    <font>
      <b/>
      <sz val="11"/>
      <name val="Times New Roman"/>
      <family val="1"/>
      <charset val="177"/>
    </font>
    <font>
      <b/>
      <sz val="11"/>
      <color rgb="FF0000CC"/>
      <name val="Times New Roman"/>
      <family val="1"/>
      <charset val="177"/>
    </font>
    <font>
      <b/>
      <sz val="11"/>
      <color theme="1"/>
      <name val="Times New Roman"/>
      <family val="2"/>
      <charset val="177"/>
    </font>
    <font>
      <sz val="8"/>
      <name val="Calibri"/>
      <family val="2"/>
      <charset val="177"/>
    </font>
    <font>
      <sz val="11"/>
      <color theme="10"/>
      <name val="Times New Roman"/>
      <family val="1"/>
      <charset val="1"/>
    </font>
    <font>
      <b/>
      <sz val="11"/>
      <color rgb="FF0000FF"/>
      <name val="Times New Roman"/>
      <family val="1"/>
    </font>
    <font>
      <sz val="11"/>
      <name val="Cambria"/>
      <family val="1"/>
    </font>
    <font>
      <b/>
      <sz val="14"/>
      <name val="Times New Roman"/>
      <family val="1"/>
    </font>
    <font>
      <b/>
      <sz val="14"/>
      <color rgb="FFC00000"/>
      <name val="Times New Roman"/>
      <family val="1"/>
      <charset val="1"/>
    </font>
    <font>
      <sz val="14"/>
      <color rgb="FFC0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C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DEADA"/>
      </patternFill>
    </fill>
    <fill>
      <patternFill patternType="solid">
        <fgColor rgb="FFFFFFCC"/>
        <bgColor rgb="FFCCFFCC"/>
      </patternFill>
    </fill>
    <fill>
      <patternFill patternType="solid">
        <fgColor rgb="FFFFFFCC"/>
        <bgColor rgb="FFCCFFFF"/>
      </patternFill>
    </fill>
    <fill>
      <patternFill patternType="solid">
        <fgColor theme="4" tint="0.79998168889431442"/>
        <bgColor rgb="FFFFEB9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166" fontId="4" fillId="0" borderId="0"/>
    <xf numFmtId="0" fontId="3" fillId="0" borderId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  <protection locked="0"/>
    </xf>
    <xf numFmtId="9" fontId="4" fillId="0" borderId="0" applyFont="0" applyFill="0" applyBorder="0" applyAlignment="0" applyProtection="0"/>
    <xf numFmtId="0" fontId="24" fillId="0" borderId="0"/>
    <xf numFmtId="0" fontId="26" fillId="0" borderId="0"/>
    <xf numFmtId="166" fontId="24" fillId="0" borderId="0"/>
  </cellStyleXfs>
  <cellXfs count="355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1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10" xfId="0" applyFont="1" applyBorder="1" applyAlignment="1">
      <alignment horizontal="right" wrapText="1"/>
    </xf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1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6" xfId="0" applyFont="1" applyBorder="1" applyAlignment="1">
      <alignment horizontal="center"/>
    </xf>
    <xf numFmtId="0" fontId="6" fillId="0" borderId="6" xfId="0" applyFont="1" applyBorder="1"/>
    <xf numFmtId="0" fontId="7" fillId="0" borderId="4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right"/>
    </xf>
    <xf numFmtId="0" fontId="6" fillId="0" borderId="9" xfId="0" applyFont="1" applyBorder="1"/>
    <xf numFmtId="0" fontId="6" fillId="2" borderId="0" xfId="0" applyFont="1" applyFill="1" applyAlignment="1">
      <alignment horizontal="right"/>
    </xf>
    <xf numFmtId="0" fontId="7" fillId="0" borderId="6" xfId="0" applyFont="1" applyBorder="1"/>
    <xf numFmtId="0" fontId="10" fillId="0" borderId="2" xfId="0" applyFont="1" applyBorder="1"/>
    <xf numFmtId="0" fontId="8" fillId="0" borderId="0" xfId="0" applyFont="1"/>
    <xf numFmtId="0" fontId="11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12" fillId="0" borderId="0" xfId="0" applyFont="1"/>
    <xf numFmtId="3" fontId="8" fillId="0" borderId="0" xfId="0" applyNumberFormat="1" applyFont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0" applyFont="1" applyBorder="1"/>
    <xf numFmtId="0" fontId="8" fillId="0" borderId="13" xfId="0" applyFont="1" applyBorder="1"/>
    <xf numFmtId="0" fontId="8" fillId="0" borderId="11" xfId="0" applyFont="1" applyBorder="1"/>
    <xf numFmtId="167" fontId="8" fillId="0" borderId="10" xfId="3" applyNumberFormat="1" applyFont="1" applyBorder="1" applyAlignment="1">
      <alignment horizontal="right" wrapText="1"/>
    </xf>
    <xf numFmtId="0" fontId="8" fillId="0" borderId="10" xfId="1" applyNumberFormat="1" applyFont="1" applyBorder="1" applyAlignment="1">
      <alignment horizontal="right" wrapText="1"/>
    </xf>
    <xf numFmtId="0" fontId="8" fillId="0" borderId="10" xfId="3" applyFont="1" applyBorder="1" applyAlignment="1">
      <alignment wrapText="1"/>
    </xf>
    <xf numFmtId="168" fontId="9" fillId="0" borderId="10" xfId="0" applyNumberFormat="1" applyFont="1" applyBorder="1"/>
    <xf numFmtId="168" fontId="8" fillId="0" borderId="10" xfId="0" applyNumberFormat="1" applyFont="1" applyBorder="1"/>
    <xf numFmtId="165" fontId="8" fillId="0" borderId="10" xfId="3" applyNumberFormat="1" applyFont="1" applyBorder="1" applyAlignment="1">
      <alignment wrapText="1"/>
    </xf>
    <xf numFmtId="168" fontId="13" fillId="0" borderId="10" xfId="0" applyNumberFormat="1" applyFont="1" applyBorder="1"/>
    <xf numFmtId="0" fontId="8" fillId="0" borderId="10" xfId="0" applyFont="1" applyBorder="1" applyAlignment="1">
      <alignment horizontal="right" wrapText="1" readingOrder="2"/>
    </xf>
    <xf numFmtId="0" fontId="8" fillId="0" borderId="0" xfId="3" applyFont="1" applyAlignment="1">
      <alignment horizontal="right"/>
    </xf>
    <xf numFmtId="0" fontId="8" fillId="0" borderId="0" xfId="3" applyFont="1" applyAlignment="1">
      <alignment wrapText="1"/>
    </xf>
    <xf numFmtId="0" fontId="8" fillId="0" borderId="0" xfId="0" applyFont="1" applyAlignment="1">
      <alignment wrapText="1"/>
    </xf>
    <xf numFmtId="3" fontId="8" fillId="0" borderId="10" xfId="3" applyNumberFormat="1" applyFont="1" applyBorder="1" applyAlignment="1">
      <alignment horizontal="right" wrapText="1"/>
    </xf>
    <xf numFmtId="167" fontId="8" fillId="0" borderId="0" xfId="3" applyNumberFormat="1" applyFont="1" applyAlignment="1">
      <alignment horizontal="right" wrapText="1"/>
    </xf>
    <xf numFmtId="168" fontId="8" fillId="0" borderId="0" xfId="0" applyNumberFormat="1" applyFont="1"/>
    <xf numFmtId="165" fontId="8" fillId="0" borderId="0" xfId="3" applyNumberFormat="1" applyFont="1" applyAlignment="1">
      <alignment wrapText="1"/>
    </xf>
    <xf numFmtId="170" fontId="8" fillId="0" borderId="0" xfId="1" applyNumberFormat="1" applyFont="1" applyAlignment="1">
      <alignment wrapText="1"/>
    </xf>
    <xf numFmtId="167" fontId="8" fillId="0" borderId="0" xfId="3" applyNumberFormat="1" applyFont="1" applyAlignment="1">
      <alignment wrapText="1"/>
    </xf>
    <xf numFmtId="0" fontId="8" fillId="0" borderId="14" xfId="3" applyFont="1" applyBorder="1" applyAlignment="1">
      <alignment wrapText="1"/>
    </xf>
    <xf numFmtId="168" fontId="8" fillId="0" borderId="15" xfId="0" applyNumberFormat="1" applyFont="1" applyBorder="1"/>
    <xf numFmtId="0" fontId="8" fillId="0" borderId="16" xfId="3" applyFont="1" applyBorder="1" applyAlignment="1">
      <alignment wrapText="1"/>
    </xf>
    <xf numFmtId="9" fontId="8" fillId="0" borderId="0" xfId="0" applyNumberFormat="1" applyFont="1"/>
    <xf numFmtId="0" fontId="9" fillId="0" borderId="0" xfId="3" applyFont="1" applyAlignment="1">
      <alignment wrapText="1"/>
    </xf>
    <xf numFmtId="167" fontId="9" fillId="0" borderId="0" xfId="3" applyNumberFormat="1" applyFont="1" applyAlignment="1">
      <alignment horizontal="right" wrapText="1"/>
    </xf>
    <xf numFmtId="168" fontId="9" fillId="0" borderId="0" xfId="0" applyNumberFormat="1" applyFont="1"/>
    <xf numFmtId="165" fontId="9" fillId="0" borderId="0" xfId="3" applyNumberFormat="1" applyFont="1" applyAlignment="1">
      <alignment wrapText="1"/>
    </xf>
    <xf numFmtId="170" fontId="9" fillId="0" borderId="0" xfId="1" applyNumberFormat="1" applyFont="1" applyAlignment="1">
      <alignment wrapText="1"/>
    </xf>
    <xf numFmtId="167" fontId="9" fillId="0" borderId="0" xfId="3" applyNumberFormat="1" applyFont="1" applyAlignment="1">
      <alignment wrapText="1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167" fontId="8" fillId="0" borderId="12" xfId="3" applyNumberFormat="1" applyFont="1" applyBorder="1" applyAlignment="1">
      <alignment horizontal="right"/>
    </xf>
    <xf numFmtId="0" fontId="8" fillId="0" borderId="12" xfId="0" applyFont="1" applyBorder="1" applyAlignment="1">
      <alignment horizontal="right" wrapText="1"/>
    </xf>
    <xf numFmtId="0" fontId="8" fillId="0" borderId="13" xfId="0" applyFont="1" applyBorder="1" applyAlignment="1">
      <alignment horizontal="right" wrapText="1"/>
    </xf>
    <xf numFmtId="167" fontId="8" fillId="0" borderId="11" xfId="3" applyNumberFormat="1" applyFont="1" applyBorder="1" applyAlignment="1">
      <alignment horizontal="right" wrapText="1"/>
    </xf>
    <xf numFmtId="167" fontId="8" fillId="0" borderId="13" xfId="3" applyNumberFormat="1" applyFont="1" applyBorder="1" applyAlignment="1">
      <alignment horizontal="right" wrapText="1"/>
    </xf>
    <xf numFmtId="167" fontId="8" fillId="0" borderId="12" xfId="3" applyNumberFormat="1" applyFont="1" applyBorder="1" applyAlignment="1">
      <alignment horizontal="right" wrapText="1"/>
    </xf>
    <xf numFmtId="0" fontId="9" fillId="0" borderId="11" xfId="0" applyFont="1" applyBorder="1"/>
    <xf numFmtId="167" fontId="9" fillId="0" borderId="12" xfId="3" applyNumberFormat="1" applyFont="1" applyBorder="1" applyAlignment="1">
      <alignment horizontal="right" wrapText="1"/>
    </xf>
    <xf numFmtId="167" fontId="9" fillId="0" borderId="12" xfId="3" applyNumberFormat="1" applyFont="1" applyBorder="1" applyAlignment="1">
      <alignment horizontal="center" wrapText="1"/>
    </xf>
    <xf numFmtId="167" fontId="9" fillId="0" borderId="13" xfId="3" applyNumberFormat="1" applyFont="1" applyBorder="1" applyAlignment="1">
      <alignment horizontal="center" wrapText="1"/>
    </xf>
    <xf numFmtId="170" fontId="9" fillId="0" borderId="9" xfId="1" applyNumberFormat="1" applyFont="1" applyBorder="1" applyAlignment="1">
      <alignment horizontal="right"/>
    </xf>
    <xf numFmtId="170" fontId="9" fillId="0" borderId="11" xfId="1" applyNumberFormat="1" applyFont="1" applyBorder="1" applyAlignment="1">
      <alignment horizontal="right"/>
    </xf>
    <xf numFmtId="170" fontId="9" fillId="0" borderId="13" xfId="1" applyNumberFormat="1" applyFont="1" applyBorder="1" applyAlignment="1">
      <alignment horizontal="right"/>
    </xf>
    <xf numFmtId="170" fontId="9" fillId="0" borderId="12" xfId="1" applyNumberFormat="1" applyFont="1" applyBorder="1" applyAlignment="1">
      <alignment horizontal="right"/>
    </xf>
    <xf numFmtId="9" fontId="9" fillId="0" borderId="13" xfId="0" applyNumberFormat="1" applyFont="1" applyBorder="1"/>
    <xf numFmtId="3" fontId="8" fillId="0" borderId="0" xfId="0" applyNumberFormat="1" applyFont="1"/>
    <xf numFmtId="0" fontId="8" fillId="0" borderId="17" xfId="3" applyFont="1" applyBorder="1" applyAlignment="1">
      <alignment wrapText="1"/>
    </xf>
    <xf numFmtId="167" fontId="8" fillId="0" borderId="0" xfId="3" applyNumberFormat="1" applyFont="1" applyAlignment="1">
      <alignment horizontal="right"/>
    </xf>
    <xf numFmtId="168" fontId="8" fillId="0" borderId="0" xfId="0" applyNumberFormat="1" applyFont="1" applyAlignment="1">
      <alignment horizontal="right"/>
    </xf>
    <xf numFmtId="3" fontId="8" fillId="0" borderId="0" xfId="3" applyNumberFormat="1" applyFont="1" applyAlignment="1">
      <alignment horizontal="right" wrapText="1"/>
    </xf>
    <xf numFmtId="0" fontId="9" fillId="0" borderId="10" xfId="0" applyFont="1" applyBorder="1"/>
    <xf numFmtId="167" fontId="9" fillId="0" borderId="0" xfId="3" applyNumberFormat="1" applyFont="1" applyAlignment="1">
      <alignment horizontal="right"/>
    </xf>
    <xf numFmtId="168" fontId="9" fillId="0" borderId="0" xfId="0" applyNumberFormat="1" applyFont="1" applyAlignment="1">
      <alignment horizontal="right"/>
    </xf>
    <xf numFmtId="3" fontId="9" fillId="0" borderId="0" xfId="0" applyNumberFormat="1" applyFont="1"/>
    <xf numFmtId="167" fontId="8" fillId="0" borderId="10" xfId="0" applyNumberFormat="1" applyFont="1" applyBorder="1" applyAlignment="1">
      <alignment horizontal="right" wrapText="1"/>
    </xf>
    <xf numFmtId="167" fontId="8" fillId="0" borderId="12" xfId="0" applyNumberFormat="1" applyFont="1" applyBorder="1" applyAlignment="1">
      <alignment horizontal="right" wrapText="1"/>
    </xf>
    <xf numFmtId="167" fontId="9" fillId="0" borderId="12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171" fontId="6" fillId="0" borderId="0" xfId="0" applyNumberFormat="1" applyFont="1" applyAlignment="1">
      <alignment horizontal="right" indent="2"/>
    </xf>
    <xf numFmtId="171" fontId="6" fillId="0" borderId="0" xfId="1" applyNumberFormat="1" applyFont="1" applyAlignment="1">
      <alignment horizontal="center" vertical="center"/>
    </xf>
    <xf numFmtId="0" fontId="6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171" fontId="6" fillId="0" borderId="10" xfId="0" applyNumberFormat="1" applyFont="1" applyBorder="1" applyAlignment="1">
      <alignment horizontal="right" wrapText="1"/>
    </xf>
    <xf numFmtId="0" fontId="6" fillId="0" borderId="10" xfId="0" applyFont="1" applyBorder="1"/>
    <xf numFmtId="168" fontId="6" fillId="0" borderId="10" xfId="1" applyNumberFormat="1" applyFont="1" applyBorder="1" applyAlignment="1">
      <alignment horizontal="right"/>
    </xf>
    <xf numFmtId="0" fontId="6" fillId="0" borderId="11" xfId="0" applyFont="1" applyBorder="1"/>
    <xf numFmtId="0" fontId="5" fillId="0" borderId="12" xfId="0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8" fontId="5" fillId="0" borderId="10" xfId="0" applyNumberFormat="1" applyFont="1" applyBorder="1" applyAlignment="1">
      <alignment horizontal="right"/>
    </xf>
    <xf numFmtId="168" fontId="6" fillId="0" borderId="11" xfId="0" applyNumberFormat="1" applyFont="1" applyBorder="1" applyAlignment="1">
      <alignment horizontal="right"/>
    </xf>
    <xf numFmtId="168" fontId="6" fillId="0" borderId="13" xfId="0" applyNumberFormat="1" applyFont="1" applyBorder="1" applyAlignment="1">
      <alignment horizontal="right"/>
    </xf>
    <xf numFmtId="171" fontId="6" fillId="0" borderId="10" xfId="0" applyNumberFormat="1" applyFont="1" applyBorder="1" applyAlignment="1">
      <alignment horizontal="right"/>
    </xf>
    <xf numFmtId="171" fontId="6" fillId="0" borderId="10" xfId="0" applyNumberFormat="1" applyFont="1" applyBorder="1" applyAlignment="1">
      <alignment horizontal="center"/>
    </xf>
    <xf numFmtId="171" fontId="6" fillId="0" borderId="10" xfId="0" applyNumberFormat="1" applyFont="1" applyBorder="1"/>
    <xf numFmtId="0" fontId="5" fillId="0" borderId="0" xfId="0" applyFont="1" applyAlignment="1">
      <alignment horizontal="center"/>
    </xf>
    <xf numFmtId="171" fontId="5" fillId="0" borderId="0" xfId="0" applyNumberFormat="1" applyFont="1" applyAlignment="1">
      <alignment horizontal="right" indent="2"/>
    </xf>
    <xf numFmtId="0" fontId="15" fillId="0" borderId="0" xfId="0" applyFont="1"/>
    <xf numFmtId="171" fontId="11" fillId="0" borderId="0" xfId="0" applyNumberFormat="1" applyFont="1" applyAlignment="1">
      <alignment horizontal="right" indent="2"/>
    </xf>
    <xf numFmtId="167" fontId="9" fillId="0" borderId="10" xfId="3" applyNumberFormat="1" applyFont="1" applyBorder="1" applyAlignment="1">
      <alignment horizontal="right" wrapText="1"/>
    </xf>
    <xf numFmtId="0" fontId="8" fillId="0" borderId="13" xfId="0" applyFont="1" applyBorder="1" applyAlignment="1">
      <alignment horizontal="right" wrapText="1" readingOrder="2"/>
    </xf>
    <xf numFmtId="0" fontId="9" fillId="0" borderId="10" xfId="3" applyFont="1" applyBorder="1" applyAlignment="1">
      <alignment wrapText="1"/>
    </xf>
    <xf numFmtId="165" fontId="9" fillId="0" borderId="10" xfId="3" applyNumberFormat="1" applyFont="1" applyBorder="1" applyAlignment="1">
      <alignment wrapText="1"/>
    </xf>
    <xf numFmtId="0" fontId="9" fillId="0" borderId="11" xfId="0" applyFont="1" applyBorder="1" applyAlignment="1">
      <alignment horizontal="right"/>
    </xf>
    <xf numFmtId="0" fontId="14" fillId="0" borderId="0" xfId="0" applyFont="1" applyAlignment="1">
      <alignment horizontal="right" readingOrder="2"/>
    </xf>
    <xf numFmtId="0" fontId="8" fillId="0" borderId="0" xfId="0" applyFont="1" applyAlignment="1">
      <alignment horizontal="right" readingOrder="2"/>
    </xf>
    <xf numFmtId="0" fontId="12" fillId="0" borderId="0" xfId="0" applyFont="1" applyAlignment="1">
      <alignment horizontal="right" readingOrder="2"/>
    </xf>
    <xf numFmtId="0" fontId="6" fillId="3" borderId="0" xfId="0" applyFont="1" applyFill="1" applyAlignment="1">
      <alignment horizontal="right"/>
    </xf>
    <xf numFmtId="172" fontId="6" fillId="0" borderId="10" xfId="1" applyNumberFormat="1" applyFont="1" applyBorder="1" applyAlignment="1">
      <alignment horizontal="right"/>
    </xf>
    <xf numFmtId="10" fontId="6" fillId="0" borderId="10" xfId="9" applyNumberFormat="1" applyFont="1" applyFill="1" applyBorder="1" applyAlignment="1" applyProtection="1">
      <alignment horizontal="right"/>
    </xf>
    <xf numFmtId="10" fontId="6" fillId="0" borderId="10" xfId="0" applyNumberFormat="1" applyFont="1" applyBorder="1" applyAlignment="1">
      <alignment horizontal="right"/>
    </xf>
    <xf numFmtId="10" fontId="5" fillId="0" borderId="10" xfId="0" applyNumberFormat="1" applyFont="1" applyBorder="1" applyAlignment="1">
      <alignment horizontal="right"/>
    </xf>
    <xf numFmtId="168" fontId="5" fillId="0" borderId="10" xfId="1" applyNumberFormat="1" applyFont="1" applyBorder="1" applyAlignment="1">
      <alignment horizontal="right"/>
    </xf>
    <xf numFmtId="168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0" fontId="16" fillId="0" borderId="10" xfId="0" applyFont="1" applyBorder="1" applyAlignment="1">
      <alignment horizontal="right"/>
    </xf>
    <xf numFmtId="168" fontId="16" fillId="0" borderId="10" xfId="1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0" xfId="1" applyNumberFormat="1" applyFont="1" applyBorder="1" applyAlignment="1">
      <alignment horizontal="right"/>
    </xf>
    <xf numFmtId="0" fontId="6" fillId="0" borderId="10" xfId="1" applyNumberFormat="1" applyFont="1" applyBorder="1" applyAlignment="1">
      <alignment horizontal="right" wrapText="1"/>
    </xf>
    <xf numFmtId="49" fontId="6" fillId="0" borderId="10" xfId="1" applyNumberFormat="1" applyFont="1" applyBorder="1" applyAlignment="1">
      <alignment horizontal="right" wrapText="1"/>
    </xf>
    <xf numFmtId="0" fontId="17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8" fillId="4" borderId="10" xfId="0" applyFont="1" applyFill="1" applyBorder="1" applyAlignment="1" applyProtection="1">
      <alignment horizontal="right"/>
      <protection locked="0"/>
    </xf>
    <xf numFmtId="0" fontId="8" fillId="4" borderId="10" xfId="0" applyFont="1" applyFill="1" applyBorder="1" applyAlignment="1" applyProtection="1">
      <alignment horizontal="right" wrapText="1"/>
      <protection locked="0"/>
    </xf>
    <xf numFmtId="169" fontId="8" fillId="4" borderId="10" xfId="0" applyNumberFormat="1" applyFont="1" applyFill="1" applyBorder="1" applyAlignment="1" applyProtection="1">
      <alignment horizontal="right"/>
      <protection locked="0"/>
    </xf>
    <xf numFmtId="3" fontId="8" fillId="4" borderId="10" xfId="0" applyNumberFormat="1" applyFont="1" applyFill="1" applyBorder="1" applyAlignment="1" applyProtection="1">
      <alignment horizontal="right"/>
      <protection locked="0"/>
    </xf>
    <xf numFmtId="170" fontId="8" fillId="4" borderId="10" xfId="1" applyNumberFormat="1" applyFont="1" applyFill="1" applyBorder="1" applyAlignment="1" applyProtection="1">
      <alignment horizontal="right"/>
      <protection locked="0"/>
    </xf>
    <xf numFmtId="3" fontId="8" fillId="0" borderId="10" xfId="0" applyNumberFormat="1" applyFont="1" applyBorder="1" applyAlignment="1">
      <alignment horizontal="right"/>
    </xf>
    <xf numFmtId="9" fontId="8" fillId="0" borderId="10" xfId="0" applyNumberFormat="1" applyFont="1" applyBorder="1" applyAlignment="1">
      <alignment horizontal="right"/>
    </xf>
    <xf numFmtId="0" fontId="19" fillId="0" borderId="0" xfId="0" applyFont="1" applyAlignment="1">
      <alignment horizontal="right" readingOrder="2"/>
    </xf>
    <xf numFmtId="0" fontId="20" fillId="0" borderId="0" xfId="0" applyFont="1"/>
    <xf numFmtId="0" fontId="20" fillId="0" borderId="0" xfId="0" applyFont="1" applyAlignment="1">
      <alignment horizontal="right" readingOrder="2"/>
    </xf>
    <xf numFmtId="0" fontId="19" fillId="0" borderId="0" xfId="0" quotePrefix="1" applyFont="1" applyAlignment="1">
      <alignment horizontal="right" readingOrder="2"/>
    </xf>
    <xf numFmtId="0" fontId="22" fillId="0" borderId="0" xfId="0" applyFont="1"/>
    <xf numFmtId="0" fontId="8" fillId="0" borderId="12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167" fontId="23" fillId="0" borderId="10" xfId="3" applyNumberFormat="1" applyFont="1" applyBorder="1" applyAlignment="1">
      <alignment horizontal="right" wrapText="1"/>
    </xf>
    <xf numFmtId="167" fontId="9" fillId="0" borderId="10" xfId="3" applyNumberFormat="1" applyFont="1" applyBorder="1" applyAlignment="1">
      <alignment wrapText="1"/>
    </xf>
    <xf numFmtId="0" fontId="24" fillId="0" borderId="0" xfId="10"/>
    <xf numFmtId="0" fontId="25" fillId="0" borderId="0" xfId="10" applyFont="1"/>
    <xf numFmtId="167" fontId="23" fillId="0" borderId="0" xfId="11" applyNumberFormat="1" applyFont="1" applyAlignment="1">
      <alignment horizontal="right"/>
    </xf>
    <xf numFmtId="0" fontId="27" fillId="0" borderId="10" xfId="11" applyFont="1" applyBorder="1" applyAlignment="1">
      <alignment wrapText="1"/>
    </xf>
    <xf numFmtId="0" fontId="23" fillId="0" borderId="11" xfId="10" applyFont="1" applyBorder="1" applyAlignment="1">
      <alignment horizontal="right"/>
    </xf>
    <xf numFmtId="0" fontId="23" fillId="0" borderId="12" xfId="10" applyFont="1" applyBorder="1" applyAlignment="1">
      <alignment horizontal="right"/>
    </xf>
    <xf numFmtId="0" fontId="27" fillId="0" borderId="12" xfId="10" applyFont="1" applyBorder="1"/>
    <xf numFmtId="0" fontId="27" fillId="0" borderId="13" xfId="10" applyFont="1" applyBorder="1"/>
    <xf numFmtId="0" fontId="23" fillId="0" borderId="11" xfId="10" applyFont="1" applyBorder="1"/>
    <xf numFmtId="0" fontId="16" fillId="0" borderId="10" xfId="10" applyFont="1" applyBorder="1" applyAlignment="1">
      <alignment horizontal="right"/>
    </xf>
    <xf numFmtId="0" fontId="16" fillId="0" borderId="12" xfId="10" applyFont="1" applyBorder="1" applyAlignment="1">
      <alignment horizontal="right"/>
    </xf>
    <xf numFmtId="0" fontId="28" fillId="0" borderId="13" xfId="10" applyFont="1" applyBorder="1" applyAlignment="1">
      <alignment horizontal="right"/>
    </xf>
    <xf numFmtId="0" fontId="23" fillId="0" borderId="10" xfId="11" applyFont="1" applyBorder="1" applyAlignment="1">
      <alignment wrapText="1"/>
    </xf>
    <xf numFmtId="167" fontId="23" fillId="0" borderId="10" xfId="11" applyNumberFormat="1" applyFont="1" applyBorder="1" applyAlignment="1">
      <alignment horizontal="right" wrapText="1"/>
    </xf>
    <xf numFmtId="0" fontId="27" fillId="0" borderId="10" xfId="12" applyNumberFormat="1" applyFont="1" applyBorder="1" applyAlignment="1">
      <alignment horizontal="right" wrapText="1"/>
    </xf>
    <xf numFmtId="0" fontId="16" fillId="0" borderId="10" xfId="12" applyNumberFormat="1" applyFont="1" applyBorder="1" applyAlignment="1">
      <alignment horizontal="right"/>
    </xf>
    <xf numFmtId="0" fontId="16" fillId="0" borderId="10" xfId="12" applyNumberFormat="1" applyFont="1" applyBorder="1" applyAlignment="1">
      <alignment horizontal="right" wrapText="1"/>
    </xf>
    <xf numFmtId="49" fontId="16" fillId="0" borderId="10" xfId="12" applyNumberFormat="1" applyFont="1" applyBorder="1" applyAlignment="1">
      <alignment horizontal="right" wrapText="1"/>
    </xf>
    <xf numFmtId="0" fontId="29" fillId="0" borderId="10" xfId="10" applyFont="1" applyBorder="1" applyAlignment="1">
      <alignment horizontal="right" wrapText="1"/>
    </xf>
    <xf numFmtId="0" fontId="30" fillId="0" borderId="10" xfId="10" applyFont="1" applyBorder="1" applyAlignment="1">
      <alignment horizontal="right" wrapText="1"/>
    </xf>
    <xf numFmtId="168" fontId="27" fillId="0" borderId="10" xfId="10" applyNumberFormat="1" applyFont="1" applyBorder="1"/>
    <xf numFmtId="168" fontId="8" fillId="0" borderId="10" xfId="10" applyNumberFormat="1" applyFont="1" applyBorder="1"/>
    <xf numFmtId="165" fontId="27" fillId="5" borderId="10" xfId="11" applyNumberFormat="1" applyFont="1" applyFill="1" applyBorder="1" applyAlignment="1" applyProtection="1">
      <alignment wrapText="1"/>
      <protection locked="0"/>
    </xf>
    <xf numFmtId="165" fontId="27" fillId="0" borderId="10" xfId="11" applyNumberFormat="1" applyFont="1" applyBorder="1" applyAlignment="1">
      <alignment wrapText="1"/>
    </xf>
    <xf numFmtId="165" fontId="27" fillId="0" borderId="10" xfId="11" applyNumberFormat="1" applyFont="1" applyBorder="1" applyAlignment="1">
      <alignment horizontal="right" wrapText="1"/>
    </xf>
    <xf numFmtId="165" fontId="31" fillId="5" borderId="10" xfId="11" applyNumberFormat="1" applyFont="1" applyFill="1" applyBorder="1" applyAlignment="1" applyProtection="1">
      <alignment horizontal="right" wrapText="1"/>
      <protection locked="0"/>
    </xf>
    <xf numFmtId="170" fontId="27" fillId="6" borderId="10" xfId="12" applyNumberFormat="1" applyFont="1" applyFill="1" applyBorder="1" applyAlignment="1" applyProtection="1">
      <alignment horizontal="right" wrapText="1"/>
      <protection locked="0"/>
    </xf>
    <xf numFmtId="0" fontId="27" fillId="4" borderId="10" xfId="10" applyFont="1" applyFill="1" applyBorder="1" applyAlignment="1" applyProtection="1">
      <alignment horizontal="right"/>
      <protection locked="0"/>
    </xf>
    <xf numFmtId="0" fontId="27" fillId="4" borderId="10" xfId="10" applyFont="1" applyFill="1" applyBorder="1" applyAlignment="1" applyProtection="1">
      <alignment horizontal="right" wrapText="1"/>
      <protection locked="0"/>
    </xf>
    <xf numFmtId="169" fontId="27" fillId="4" borderId="10" xfId="10" applyNumberFormat="1" applyFont="1" applyFill="1" applyBorder="1" applyAlignment="1" applyProtection="1">
      <alignment horizontal="right"/>
      <protection locked="0"/>
    </xf>
    <xf numFmtId="3" fontId="27" fillId="4" borderId="10" xfId="10" applyNumberFormat="1" applyFont="1" applyFill="1" applyBorder="1" applyAlignment="1" applyProtection="1">
      <alignment horizontal="right"/>
      <protection locked="0"/>
    </xf>
    <xf numFmtId="170" fontId="27" fillId="4" borderId="10" xfId="12" applyNumberFormat="1" applyFont="1" applyFill="1" applyBorder="1" applyAlignment="1" applyProtection="1">
      <alignment horizontal="right"/>
      <protection locked="0"/>
    </xf>
    <xf numFmtId="3" fontId="27" fillId="0" borderId="10" xfId="10" applyNumberFormat="1" applyFont="1" applyBorder="1" applyAlignment="1">
      <alignment horizontal="right"/>
    </xf>
    <xf numFmtId="9" fontId="27" fillId="0" borderId="10" xfId="10" applyNumberFormat="1" applyFont="1" applyBorder="1" applyAlignment="1">
      <alignment horizontal="right"/>
    </xf>
    <xf numFmtId="0" fontId="32" fillId="0" borderId="10" xfId="10" applyFont="1" applyBorder="1" applyAlignment="1">
      <alignment horizontal="right" wrapText="1"/>
    </xf>
    <xf numFmtId="0" fontId="27" fillId="0" borderId="10" xfId="10" applyFont="1" applyBorder="1" applyAlignment="1">
      <alignment horizontal="right"/>
    </xf>
    <xf numFmtId="0" fontId="24" fillId="0" borderId="1" xfId="10" applyBorder="1"/>
    <xf numFmtId="0" fontId="24" fillId="0" borderId="2" xfId="10" applyBorder="1"/>
    <xf numFmtId="0" fontId="24" fillId="0" borderId="3" xfId="10" applyBorder="1"/>
    <xf numFmtId="0" fontId="24" fillId="0" borderId="4" xfId="10" applyBorder="1"/>
    <xf numFmtId="0" fontId="24" fillId="0" borderId="6" xfId="10" applyBorder="1"/>
    <xf numFmtId="0" fontId="24" fillId="0" borderId="8" xfId="10" applyBorder="1"/>
    <xf numFmtId="0" fontId="24" fillId="0" borderId="7" xfId="10" applyBorder="1"/>
    <xf numFmtId="0" fontId="24" fillId="0" borderId="9" xfId="10" applyBorder="1"/>
    <xf numFmtId="168" fontId="9" fillId="0" borderId="15" xfId="10" applyNumberFormat="1" applyFont="1" applyBorder="1" applyAlignment="1">
      <alignment horizontal="right"/>
    </xf>
    <xf numFmtId="167" fontId="9" fillId="0" borderId="10" xfId="11" applyNumberFormat="1" applyFont="1" applyBorder="1" applyAlignment="1">
      <alignment horizontal="right"/>
    </xf>
    <xf numFmtId="170" fontId="9" fillId="0" borderId="10" xfId="12" applyNumberFormat="1" applyFont="1" applyBorder="1" applyAlignment="1">
      <alignment horizontal="right" wrapText="1"/>
    </xf>
    <xf numFmtId="167" fontId="9" fillId="0" borderId="10" xfId="11" applyNumberFormat="1" applyFont="1" applyBorder="1" applyAlignment="1">
      <alignment horizontal="right" wrapText="1" readingOrder="2"/>
    </xf>
    <xf numFmtId="168" fontId="9" fillId="0" borderId="10" xfId="10" applyNumberFormat="1" applyFont="1" applyBorder="1" applyAlignment="1">
      <alignment horizontal="right" wrapText="1" readingOrder="2"/>
    </xf>
    <xf numFmtId="3" fontId="9" fillId="0" borderId="10" xfId="10" applyNumberFormat="1" applyFont="1" applyBorder="1" applyAlignment="1">
      <alignment horizontal="right"/>
    </xf>
    <xf numFmtId="9" fontId="9" fillId="0" borderId="10" xfId="10" applyNumberFormat="1" applyFont="1" applyBorder="1" applyAlignment="1">
      <alignment horizontal="right"/>
    </xf>
    <xf numFmtId="0" fontId="9" fillId="0" borderId="10" xfId="10" applyFont="1" applyBorder="1" applyAlignment="1">
      <alignment horizontal="right" wrapText="1"/>
    </xf>
    <xf numFmtId="0" fontId="33" fillId="0" borderId="10" xfId="10" applyFont="1" applyBorder="1" applyAlignment="1">
      <alignment horizontal="right" wrapText="1"/>
    </xf>
    <xf numFmtId="0" fontId="9" fillId="0" borderId="10" xfId="10" applyFont="1" applyBorder="1" applyAlignment="1">
      <alignment horizontal="right"/>
    </xf>
    <xf numFmtId="0" fontId="23" fillId="0" borderId="0" xfId="11" applyFont="1" applyAlignment="1">
      <alignment wrapText="1"/>
    </xf>
    <xf numFmtId="167" fontId="27" fillId="0" borderId="0" xfId="11" applyNumberFormat="1" applyFont="1" applyAlignment="1">
      <alignment horizontal="right"/>
    </xf>
    <xf numFmtId="168" fontId="27" fillId="0" borderId="0" xfId="10" applyNumberFormat="1" applyFont="1"/>
    <xf numFmtId="168" fontId="27" fillId="0" borderId="0" xfId="10" applyNumberFormat="1" applyFont="1" applyAlignment="1">
      <alignment horizontal="right"/>
    </xf>
    <xf numFmtId="0" fontId="34" fillId="0" borderId="0" xfId="10" applyFont="1"/>
    <xf numFmtId="167" fontId="27" fillId="0" borderId="12" xfId="11" applyNumberFormat="1" applyFont="1" applyBorder="1" applyAlignment="1">
      <alignment horizontal="right"/>
    </xf>
    <xf numFmtId="0" fontId="27" fillId="0" borderId="12" xfId="10" applyFont="1" applyBorder="1" applyAlignment="1">
      <alignment horizontal="right"/>
    </xf>
    <xf numFmtId="167" fontId="27" fillId="0" borderId="13" xfId="10" applyNumberFormat="1" applyFont="1" applyBorder="1" applyAlignment="1">
      <alignment horizontal="right"/>
    </xf>
    <xf numFmtId="167" fontId="23" fillId="0" borderId="10" xfId="10" applyNumberFormat="1" applyFont="1" applyBorder="1" applyAlignment="1">
      <alignment horizontal="right" wrapText="1"/>
    </xf>
    <xf numFmtId="167" fontId="27" fillId="0" borderId="12" xfId="11" applyNumberFormat="1" applyFont="1" applyBorder="1" applyAlignment="1">
      <alignment horizontal="right" wrapText="1"/>
    </xf>
    <xf numFmtId="0" fontId="23" fillId="0" borderId="10" xfId="12" applyNumberFormat="1" applyFont="1" applyBorder="1" applyAlignment="1">
      <alignment horizontal="right" wrapText="1"/>
    </xf>
    <xf numFmtId="165" fontId="27" fillId="0" borderId="12" xfId="11" applyNumberFormat="1" applyFont="1" applyBorder="1" applyAlignment="1">
      <alignment wrapText="1"/>
    </xf>
    <xf numFmtId="165" fontId="27" fillId="0" borderId="13" xfId="11" applyNumberFormat="1" applyFont="1" applyBorder="1" applyAlignment="1">
      <alignment wrapText="1"/>
    </xf>
    <xf numFmtId="167" fontId="27" fillId="0" borderId="11" xfId="11" applyNumberFormat="1" applyFont="1" applyBorder="1" applyAlignment="1">
      <alignment horizontal="right"/>
    </xf>
    <xf numFmtId="0" fontId="32" fillId="0" borderId="12" xfId="10" applyFont="1" applyBorder="1" applyAlignment="1">
      <alignment horizontal="right"/>
    </xf>
    <xf numFmtId="0" fontId="27" fillId="0" borderId="13" xfId="10" applyFont="1" applyBorder="1" applyAlignment="1">
      <alignment horizontal="right"/>
    </xf>
    <xf numFmtId="0" fontId="35" fillId="0" borderId="11" xfId="10" applyFont="1" applyBorder="1"/>
    <xf numFmtId="167" fontId="36" fillId="0" borderId="12" xfId="11" applyNumberFormat="1" applyFont="1" applyBorder="1" applyAlignment="1">
      <alignment horizontal="right" wrapText="1"/>
    </xf>
    <xf numFmtId="167" fontId="35" fillId="0" borderId="12" xfId="11" applyNumberFormat="1" applyFont="1" applyBorder="1" applyAlignment="1">
      <alignment horizontal="center"/>
    </xf>
    <xf numFmtId="165" fontId="35" fillId="0" borderId="13" xfId="11" applyNumberFormat="1" applyFont="1" applyBorder="1" applyAlignment="1">
      <alignment wrapText="1"/>
    </xf>
    <xf numFmtId="165" fontId="35" fillId="0" borderId="10" xfId="11" applyNumberFormat="1" applyFont="1" applyBorder="1" applyAlignment="1">
      <alignment wrapText="1"/>
    </xf>
    <xf numFmtId="165" fontId="35" fillId="0" borderId="12" xfId="11" applyNumberFormat="1" applyFont="1" applyBorder="1" applyAlignment="1">
      <alignment wrapText="1"/>
    </xf>
    <xf numFmtId="170" fontId="37" fillId="0" borderId="11" xfId="12" applyNumberFormat="1" applyFont="1" applyBorder="1" applyAlignment="1">
      <alignment horizontal="right"/>
    </xf>
    <xf numFmtId="170" fontId="37" fillId="0" borderId="12" xfId="12" applyNumberFormat="1" applyFont="1" applyBorder="1" applyAlignment="1">
      <alignment horizontal="right" wrapText="1"/>
    </xf>
    <xf numFmtId="170" fontId="37" fillId="0" borderId="12" xfId="12" applyNumberFormat="1" applyFont="1" applyBorder="1" applyAlignment="1">
      <alignment horizontal="right"/>
    </xf>
    <xf numFmtId="165" fontId="37" fillId="0" borderId="12" xfId="11" applyNumberFormat="1" applyFont="1" applyBorder="1" applyAlignment="1">
      <alignment horizontal="right" wrapText="1"/>
    </xf>
    <xf numFmtId="9" fontId="37" fillId="0" borderId="10" xfId="10" applyNumberFormat="1" applyFont="1" applyBorder="1" applyAlignment="1">
      <alignment horizontal="right"/>
    </xf>
    <xf numFmtId="9" fontId="37" fillId="0" borderId="11" xfId="10" applyNumberFormat="1" applyFont="1" applyBorder="1" applyAlignment="1">
      <alignment horizontal="right" wrapText="1"/>
    </xf>
    <xf numFmtId="0" fontId="38" fillId="0" borderId="12" xfId="10" applyFont="1" applyBorder="1" applyAlignment="1">
      <alignment horizontal="right" wrapText="1"/>
    </xf>
    <xf numFmtId="0" fontId="35" fillId="0" borderId="13" xfId="10" applyFont="1" applyBorder="1" applyAlignment="1">
      <alignment horizontal="right"/>
    </xf>
    <xf numFmtId="0" fontId="39" fillId="0" borderId="0" xfId="10" applyFont="1"/>
    <xf numFmtId="0" fontId="27" fillId="0" borderId="0" xfId="11" applyFont="1" applyAlignment="1">
      <alignment wrapText="1"/>
    </xf>
    <xf numFmtId="0" fontId="6" fillId="0" borderId="0" xfId="10" applyFont="1"/>
    <xf numFmtId="0" fontId="5" fillId="0" borderId="0" xfId="10" applyFont="1"/>
    <xf numFmtId="0" fontId="8" fillId="0" borderId="11" xfId="10" applyFont="1" applyBorder="1" applyAlignment="1">
      <alignment horizontal="right"/>
    </xf>
    <xf numFmtId="0" fontId="8" fillId="0" borderId="12" xfId="10" applyFont="1" applyBorder="1" applyAlignment="1">
      <alignment horizontal="right"/>
    </xf>
    <xf numFmtId="0" fontId="8" fillId="0" borderId="12" xfId="10" applyFont="1" applyBorder="1"/>
    <xf numFmtId="0" fontId="8" fillId="0" borderId="13" xfId="10" applyFont="1" applyBorder="1"/>
    <xf numFmtId="0" fontId="8" fillId="0" borderId="11" xfId="10" applyFont="1" applyBorder="1"/>
    <xf numFmtId="0" fontId="8" fillId="0" borderId="0" xfId="10" applyFont="1"/>
    <xf numFmtId="0" fontId="6" fillId="0" borderId="10" xfId="10" applyFont="1" applyBorder="1" applyAlignment="1">
      <alignment horizontal="right"/>
    </xf>
    <xf numFmtId="0" fontId="6" fillId="0" borderId="12" xfId="10" applyFont="1" applyBorder="1" applyAlignment="1">
      <alignment horizontal="right"/>
    </xf>
    <xf numFmtId="0" fontId="6" fillId="0" borderId="13" xfId="10" applyFont="1" applyBorder="1" applyAlignment="1">
      <alignment horizontal="right"/>
    </xf>
    <xf numFmtId="0" fontId="8" fillId="0" borderId="17" xfId="11" applyFont="1" applyBorder="1" applyAlignment="1">
      <alignment wrapText="1"/>
    </xf>
    <xf numFmtId="167" fontId="8" fillId="0" borderId="10" xfId="11" applyNumberFormat="1" applyFont="1" applyBorder="1" applyAlignment="1">
      <alignment horizontal="right" wrapText="1"/>
    </xf>
    <xf numFmtId="0" fontId="8" fillId="0" borderId="10" xfId="12" applyNumberFormat="1" applyFont="1" applyBorder="1" applyAlignment="1">
      <alignment horizontal="right" wrapText="1"/>
    </xf>
    <xf numFmtId="0" fontId="6" fillId="0" borderId="10" xfId="12" applyNumberFormat="1" applyFont="1" applyBorder="1" applyAlignment="1">
      <alignment horizontal="right"/>
    </xf>
    <xf numFmtId="0" fontId="6" fillId="0" borderId="10" xfId="12" applyNumberFormat="1" applyFont="1" applyBorder="1" applyAlignment="1">
      <alignment horizontal="right" wrapText="1"/>
    </xf>
    <xf numFmtId="49" fontId="6" fillId="0" borderId="10" xfId="12" applyNumberFormat="1" applyFont="1" applyBorder="1" applyAlignment="1">
      <alignment horizontal="right" wrapText="1"/>
    </xf>
    <xf numFmtId="0" fontId="17" fillId="0" borderId="10" xfId="10" applyFont="1" applyBorder="1" applyAlignment="1">
      <alignment horizontal="right" wrapText="1"/>
    </xf>
    <xf numFmtId="0" fontId="18" fillId="0" borderId="10" xfId="10" applyFont="1" applyBorder="1" applyAlignment="1">
      <alignment horizontal="right" wrapText="1"/>
    </xf>
    <xf numFmtId="0" fontId="8" fillId="0" borderId="10" xfId="11" applyFont="1" applyBorder="1" applyAlignment="1">
      <alignment wrapText="1"/>
    </xf>
    <xf numFmtId="0" fontId="8" fillId="0" borderId="10" xfId="10" applyFont="1" applyBorder="1" applyAlignment="1">
      <alignment horizontal="right" wrapText="1" readingOrder="2"/>
    </xf>
    <xf numFmtId="0" fontId="27" fillId="0" borderId="10" xfId="10" applyFont="1" applyBorder="1" applyAlignment="1">
      <alignment horizontal="right" wrapText="1" readingOrder="2"/>
    </xf>
    <xf numFmtId="1" fontId="9" fillId="0" borderId="10" xfId="10" applyNumberFormat="1" applyFont="1" applyBorder="1" applyAlignment="1">
      <alignment horizontal="right" vertical="center"/>
    </xf>
    <xf numFmtId="3" fontId="8" fillId="0" borderId="10" xfId="10" applyNumberFormat="1" applyFont="1" applyBorder="1" applyAlignment="1">
      <alignment horizontal="right"/>
    </xf>
    <xf numFmtId="165" fontId="8" fillId="5" borderId="10" xfId="11" applyNumberFormat="1" applyFont="1" applyFill="1" applyBorder="1" applyAlignment="1" applyProtection="1">
      <alignment wrapText="1"/>
      <protection locked="0"/>
    </xf>
    <xf numFmtId="165" fontId="8" fillId="0" borderId="10" xfId="11" applyNumberFormat="1" applyFont="1" applyBorder="1" applyAlignment="1">
      <alignment wrapText="1"/>
    </xf>
    <xf numFmtId="165" fontId="8" fillId="5" borderId="10" xfId="11" applyNumberFormat="1" applyFont="1" applyFill="1" applyBorder="1" applyAlignment="1" applyProtection="1">
      <alignment horizontal="right" wrapText="1"/>
      <protection locked="0"/>
    </xf>
    <xf numFmtId="170" fontId="8" fillId="6" borderId="10" xfId="12" applyNumberFormat="1" applyFont="1" applyFill="1" applyBorder="1" applyAlignment="1" applyProtection="1">
      <alignment horizontal="right" wrapText="1"/>
      <protection locked="0"/>
    </xf>
    <xf numFmtId="0" fontId="8" fillId="4" borderId="10" xfId="10" applyFont="1" applyFill="1" applyBorder="1" applyAlignment="1" applyProtection="1">
      <alignment horizontal="right"/>
      <protection locked="0"/>
    </xf>
    <xf numFmtId="0" fontId="8" fillId="4" borderId="10" xfId="10" applyFont="1" applyFill="1" applyBorder="1" applyAlignment="1" applyProtection="1">
      <alignment horizontal="right" wrapText="1"/>
      <protection locked="0"/>
    </xf>
    <xf numFmtId="169" fontId="8" fillId="4" borderId="10" xfId="10" applyNumberFormat="1" applyFont="1" applyFill="1" applyBorder="1" applyAlignment="1" applyProtection="1">
      <alignment horizontal="right"/>
      <protection locked="0"/>
    </xf>
    <xf numFmtId="3" fontId="8" fillId="4" borderId="10" xfId="10" applyNumberFormat="1" applyFont="1" applyFill="1" applyBorder="1" applyAlignment="1" applyProtection="1">
      <alignment horizontal="right"/>
      <protection locked="0"/>
    </xf>
    <xf numFmtId="170" fontId="8" fillId="4" borderId="10" xfId="12" applyNumberFormat="1" applyFont="1" applyFill="1" applyBorder="1" applyAlignment="1" applyProtection="1">
      <alignment horizontal="right"/>
      <protection locked="0"/>
    </xf>
    <xf numFmtId="9" fontId="8" fillId="0" borderId="10" xfId="10" applyNumberFormat="1" applyFont="1" applyBorder="1" applyAlignment="1">
      <alignment horizontal="right"/>
    </xf>
    <xf numFmtId="0" fontId="8" fillId="0" borderId="10" xfId="10" applyFont="1" applyBorder="1" applyAlignment="1">
      <alignment horizontal="right"/>
    </xf>
    <xf numFmtId="1" fontId="8" fillId="0" borderId="10" xfId="10" applyNumberFormat="1" applyFont="1" applyBorder="1" applyAlignment="1">
      <alignment horizontal="right" vertical="center"/>
    </xf>
    <xf numFmtId="3" fontId="8" fillId="0" borderId="18" xfId="10" applyNumberFormat="1" applyFont="1" applyBorder="1" applyAlignment="1">
      <alignment horizontal="right"/>
    </xf>
    <xf numFmtId="0" fontId="9" fillId="0" borderId="10" xfId="11" applyFont="1" applyBorder="1" applyAlignment="1">
      <alignment wrapText="1"/>
    </xf>
    <xf numFmtId="0" fontId="9" fillId="0" borderId="10" xfId="10" applyFont="1" applyBorder="1" applyAlignment="1">
      <alignment horizontal="right" vertical="center"/>
    </xf>
    <xf numFmtId="165" fontId="9" fillId="0" borderId="10" xfId="11" applyNumberFormat="1" applyFont="1" applyBorder="1" applyAlignment="1">
      <alignment wrapText="1"/>
    </xf>
    <xf numFmtId="0" fontId="9" fillId="0" borderId="0" xfId="10" applyFont="1"/>
    <xf numFmtId="0" fontId="8" fillId="0" borderId="10" xfId="10" applyFont="1" applyBorder="1"/>
    <xf numFmtId="1" fontId="8" fillId="0" borderId="10" xfId="10" applyNumberFormat="1" applyFont="1" applyBorder="1"/>
    <xf numFmtId="165" fontId="8" fillId="0" borderId="11" xfId="11" applyNumberFormat="1" applyFont="1" applyBorder="1" applyAlignment="1">
      <alignment horizontal="right" wrapText="1"/>
    </xf>
    <xf numFmtId="165" fontId="8" fillId="0" borderId="13" xfId="11" applyNumberFormat="1" applyFont="1" applyBorder="1" applyAlignment="1">
      <alignment horizontal="right" wrapText="1"/>
    </xf>
    <xf numFmtId="3" fontId="8" fillId="0" borderId="10" xfId="11" applyNumberFormat="1" applyFont="1" applyBorder="1" applyAlignment="1">
      <alignment wrapText="1"/>
    </xf>
    <xf numFmtId="0" fontId="9" fillId="0" borderId="11" xfId="10" applyFont="1" applyBorder="1"/>
    <xf numFmtId="0" fontId="9" fillId="0" borderId="12" xfId="10" applyFont="1" applyBorder="1"/>
    <xf numFmtId="0" fontId="9" fillId="0" borderId="12" xfId="10" applyFont="1" applyBorder="1" applyAlignment="1">
      <alignment horizontal="right" vertical="center"/>
    </xf>
    <xf numFmtId="3" fontId="9" fillId="0" borderId="13" xfId="10" applyNumberFormat="1" applyFont="1" applyBorder="1" applyAlignment="1">
      <alignment horizontal="right"/>
    </xf>
    <xf numFmtId="167" fontId="8" fillId="0" borderId="10" xfId="11" applyNumberFormat="1" applyFont="1" applyBorder="1" applyAlignment="1">
      <alignment horizontal="right"/>
    </xf>
    <xf numFmtId="167" fontId="9" fillId="0" borderId="10" xfId="3" applyNumberFormat="1" applyFont="1" applyBorder="1" applyAlignment="1">
      <alignment horizontal="right"/>
    </xf>
    <xf numFmtId="168" fontId="27" fillId="0" borderId="10" xfId="0" applyNumberFormat="1" applyFont="1" applyBorder="1" applyAlignment="1">
      <alignment horizontal="right"/>
    </xf>
    <xf numFmtId="165" fontId="9" fillId="0" borderId="10" xfId="3" applyNumberFormat="1" applyFont="1" applyBorder="1" applyAlignment="1">
      <alignment horizontal="right" wrapText="1"/>
    </xf>
    <xf numFmtId="165" fontId="8" fillId="5" borderId="0" xfId="11" applyNumberFormat="1" applyFont="1" applyFill="1" applyAlignment="1" applyProtection="1">
      <alignment horizontal="right"/>
      <protection locked="0"/>
    </xf>
    <xf numFmtId="9" fontId="9" fillId="0" borderId="12" xfId="0" applyNumberFormat="1" applyFont="1" applyBorder="1"/>
    <xf numFmtId="168" fontId="9" fillId="0" borderId="13" xfId="0" applyNumberFormat="1" applyFont="1" applyBorder="1"/>
    <xf numFmtId="169" fontId="16" fillId="5" borderId="7" xfId="0" applyNumberFormat="1" applyFont="1" applyFill="1" applyBorder="1" applyAlignment="1" applyProtection="1">
      <alignment horizontal="right"/>
      <protection locked="0"/>
    </xf>
    <xf numFmtId="0" fontId="16" fillId="0" borderId="0" xfId="0" applyFont="1" applyAlignment="1">
      <alignment horizontal="right"/>
    </xf>
    <xf numFmtId="0" fontId="16" fillId="5" borderId="7" xfId="0" applyFont="1" applyFill="1" applyBorder="1" applyAlignment="1" applyProtection="1">
      <alignment horizontal="right"/>
      <protection locked="0"/>
    </xf>
    <xf numFmtId="0" fontId="41" fillId="5" borderId="7" xfId="2" applyFont="1" applyFill="1" applyBorder="1" applyAlignment="1">
      <alignment horizontal="right"/>
      <protection locked="0"/>
    </xf>
    <xf numFmtId="0" fontId="16" fillId="0" borderId="7" xfId="0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27" fillId="5" borderId="7" xfId="2" applyFont="1" applyFill="1" applyBorder="1" applyAlignment="1">
      <alignment horizontal="right"/>
      <protection locked="0"/>
    </xf>
    <xf numFmtId="0" fontId="27" fillId="0" borderId="0" xfId="0" applyFont="1" applyAlignment="1">
      <alignment horizontal="right"/>
    </xf>
    <xf numFmtId="0" fontId="41" fillId="5" borderId="10" xfId="2" applyFont="1" applyFill="1" applyBorder="1" applyAlignment="1">
      <alignment horizontal="right"/>
      <protection locked="0"/>
    </xf>
    <xf numFmtId="171" fontId="5" fillId="0" borderId="10" xfId="0" applyNumberFormat="1" applyFont="1" applyBorder="1"/>
    <xf numFmtId="0" fontId="8" fillId="0" borderId="10" xfId="0" applyFont="1" applyBorder="1" applyProtection="1">
      <protection locked="0"/>
    </xf>
    <xf numFmtId="0" fontId="8" fillId="0" borderId="10" xfId="0" applyFont="1" applyBorder="1" applyAlignment="1" applyProtection="1">
      <alignment wrapText="1"/>
      <protection locked="0"/>
    </xf>
    <xf numFmtId="169" fontId="8" fillId="0" borderId="10" xfId="0" applyNumberFormat="1" applyFont="1" applyBorder="1" applyProtection="1">
      <protection locked="0"/>
    </xf>
    <xf numFmtId="3" fontId="8" fillId="0" borderId="10" xfId="0" applyNumberFormat="1" applyFont="1" applyBorder="1" applyProtection="1">
      <protection locked="0"/>
    </xf>
    <xf numFmtId="3" fontId="8" fillId="0" borderId="10" xfId="0" applyNumberFormat="1" applyFont="1" applyBorder="1"/>
    <xf numFmtId="9" fontId="8" fillId="0" borderId="10" xfId="0" applyNumberFormat="1" applyFont="1" applyBorder="1"/>
    <xf numFmtId="0" fontId="17" fillId="0" borderId="10" xfId="0" applyFont="1" applyBorder="1" applyAlignment="1">
      <alignment wrapText="1"/>
    </xf>
    <xf numFmtId="0" fontId="8" fillId="0" borderId="10" xfId="0" applyFont="1" applyBorder="1"/>
    <xf numFmtId="38" fontId="8" fillId="4" borderId="10" xfId="10" applyNumberFormat="1" applyFont="1" applyFill="1" applyBorder="1" applyAlignment="1" applyProtection="1">
      <alignment wrapText="1"/>
      <protection locked="0"/>
    </xf>
    <xf numFmtId="0" fontId="8" fillId="4" borderId="10" xfId="10" applyFont="1" applyFill="1" applyBorder="1" applyAlignment="1" applyProtection="1">
      <alignment wrapText="1"/>
      <protection locked="0"/>
    </xf>
    <xf numFmtId="0" fontId="8" fillId="4" borderId="18" xfId="10" applyFont="1" applyFill="1" applyBorder="1" applyAlignment="1" applyProtection="1">
      <alignment wrapText="1"/>
      <protection locked="0"/>
    </xf>
    <xf numFmtId="0" fontId="8" fillId="4" borderId="5" xfId="10" applyFont="1" applyFill="1" applyBorder="1" applyAlignment="1" applyProtection="1">
      <alignment wrapText="1"/>
      <protection locked="0"/>
    </xf>
    <xf numFmtId="0" fontId="8" fillId="4" borderId="15" xfId="10" applyFont="1" applyFill="1" applyBorder="1" applyAlignment="1" applyProtection="1">
      <alignment wrapText="1"/>
      <protection locked="0"/>
    </xf>
    <xf numFmtId="0" fontId="16" fillId="0" borderId="11" xfId="0" applyFont="1" applyBorder="1"/>
    <xf numFmtId="0" fontId="16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right"/>
    </xf>
    <xf numFmtId="171" fontId="31" fillId="0" borderId="12" xfId="0" applyNumberFormat="1" applyFont="1" applyBorder="1" applyAlignment="1">
      <alignment horizontal="right" indent="2"/>
    </xf>
    <xf numFmtId="0" fontId="16" fillId="0" borderId="13" xfId="0" applyFont="1" applyBorder="1"/>
    <xf numFmtId="0" fontId="27" fillId="7" borderId="10" xfId="0" applyFont="1" applyFill="1" applyBorder="1" applyAlignment="1" applyProtection="1">
      <alignment horizontal="right"/>
      <protection locked="0"/>
    </xf>
    <xf numFmtId="0" fontId="27" fillId="7" borderId="10" xfId="0" applyFont="1" applyFill="1" applyBorder="1" applyAlignment="1" applyProtection="1">
      <alignment horizontal="center"/>
      <protection locked="0"/>
    </xf>
    <xf numFmtId="0" fontId="27" fillId="7" borderId="10" xfId="0" applyFont="1" applyFill="1" applyBorder="1" applyProtection="1">
      <protection locked="0"/>
    </xf>
    <xf numFmtId="171" fontId="16" fillId="0" borderId="10" xfId="12" applyNumberFormat="1" applyFont="1" applyBorder="1" applyAlignment="1">
      <alignment horizontal="right" indent="2"/>
    </xf>
    <xf numFmtId="0" fontId="27" fillId="7" borderId="10" xfId="0" applyFont="1" applyFill="1" applyBorder="1" applyAlignment="1" applyProtection="1">
      <alignment horizontal="right" wrapText="1"/>
      <protection locked="0"/>
    </xf>
    <xf numFmtId="165" fontId="42" fillId="5" borderId="10" xfId="11" applyNumberFormat="1" applyFont="1" applyFill="1" applyBorder="1" applyAlignment="1" applyProtection="1">
      <alignment horizontal="right" wrapText="1"/>
      <protection locked="0"/>
    </xf>
    <xf numFmtId="0" fontId="44" fillId="0" borderId="0" xfId="0" applyFont="1" applyAlignment="1">
      <alignment horizontal="right"/>
    </xf>
    <xf numFmtId="165" fontId="45" fillId="0" borderId="2" xfId="11" applyNumberFormat="1" applyFont="1" applyBorder="1" applyAlignment="1">
      <alignment horizontal="right"/>
    </xf>
    <xf numFmtId="173" fontId="46" fillId="0" borderId="7" xfId="3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 readingOrder="2"/>
    </xf>
    <xf numFmtId="169" fontId="47" fillId="0" borderId="0" xfId="0" applyNumberFormat="1" applyFont="1" applyAlignment="1">
      <alignment horizontal="right"/>
    </xf>
    <xf numFmtId="0" fontId="47" fillId="0" borderId="0" xfId="0" applyFont="1" applyAlignment="1">
      <alignment horizontal="right"/>
    </xf>
    <xf numFmtId="9" fontId="8" fillId="4" borderId="10" xfId="12" applyNumberFormat="1" applyFont="1" applyFill="1" applyBorder="1" applyAlignment="1" applyProtection="1">
      <alignment horizontal="right"/>
      <protection locked="0"/>
    </xf>
    <xf numFmtId="38" fontId="8" fillId="4" borderId="10" xfId="12" applyNumberFormat="1" applyFont="1" applyFill="1" applyBorder="1" applyAlignment="1" applyProtection="1">
      <alignment horizontal="right"/>
      <protection locked="0"/>
    </xf>
    <xf numFmtId="168" fontId="27" fillId="0" borderId="10" xfId="0" applyNumberFormat="1" applyFont="1" applyBorder="1"/>
    <xf numFmtId="170" fontId="27" fillId="0" borderId="10" xfId="12" applyNumberFormat="1" applyFont="1" applyBorder="1" applyAlignment="1">
      <alignment horizontal="right"/>
    </xf>
    <xf numFmtId="1" fontId="8" fillId="0" borderId="10" xfId="10" applyNumberFormat="1" applyFont="1" applyBorder="1" applyAlignment="1">
      <alignment horizontal="right" wrapText="1"/>
    </xf>
    <xf numFmtId="167" fontId="48" fillId="0" borderId="7" xfId="3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168" fontId="13" fillId="0" borderId="10" xfId="0" applyNumberFormat="1" applyFont="1" applyFill="1" applyBorder="1"/>
    <xf numFmtId="168" fontId="8" fillId="0" borderId="10" xfId="0" applyNumberFormat="1" applyFont="1" applyFill="1" applyBorder="1"/>
  </cellXfs>
  <cellStyles count="13">
    <cellStyle name="Comma" xfId="1" builtinId="3"/>
    <cellStyle name="Comma 2" xfId="12" xr:uid="{08264714-5CF8-46E4-8C4C-0819356ADB3C}"/>
    <cellStyle name="Normal" xfId="0" builtinId="0"/>
    <cellStyle name="Normal 2" xfId="3" xr:uid="{00000000-0005-0000-0000-000006000000}"/>
    <cellStyle name="Normal 2 2" xfId="4" xr:uid="{00000000-0005-0000-0000-000007000000}"/>
    <cellStyle name="Normal 2 3" xfId="11" xr:uid="{4AD0561A-3798-475D-A347-A52CD946ED4F}"/>
    <cellStyle name="Normal 3" xfId="5" xr:uid="{00000000-0005-0000-0000-000008000000}"/>
    <cellStyle name="Normal 3 2" xfId="6" xr:uid="{00000000-0005-0000-0000-000009000000}"/>
    <cellStyle name="Normal 3 3" xfId="7" xr:uid="{00000000-0005-0000-0000-00000A000000}"/>
    <cellStyle name="Normal 4" xfId="10" xr:uid="{34E47D54-58CD-4C65-A548-43D2C0C26946}"/>
    <cellStyle name="Percent" xfId="9" builtinId="5"/>
    <cellStyle name="היפר-קישור" xfId="2" builtinId="8"/>
    <cellStyle name="היפר-קישור 2" xfId="8" xr:uid="{00000000-0005-0000-0000-00000B000000}"/>
  </cellStyles>
  <dxfs count="96">
    <dxf>
      <font>
        <b/>
        <strike val="0"/>
        <color rgb="FFFF0000"/>
      </font>
    </dxf>
    <dxf>
      <font>
        <color rgb="FF9C0006"/>
      </font>
    </dxf>
    <dxf>
      <font>
        <b/>
        <strike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b/>
        <strike val="0"/>
        <color rgb="FFFF0000"/>
      </font>
      <fill>
        <patternFill>
          <bgColor rgb="FF000000"/>
        </patternFill>
      </fill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  <fill>
        <patternFill>
          <bgColor rgb="FF000000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b/>
        <strike val="0"/>
        <color rgb="FFFF0000"/>
      </font>
      <fill>
        <patternFill>
          <bgColor rgb="FF000000"/>
        </patternFill>
      </fill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</dxf>
    <dxf>
      <font>
        <b/>
        <strike val="0"/>
        <color rgb="FFFF0000"/>
      </font>
      <fill>
        <patternFill>
          <bgColor rgb="FF000000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99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-215280</xdr:colOff>
      <xdr:row>0</xdr:row>
      <xdr:rowOff>0</xdr:rowOff>
    </xdr:from>
    <xdr:to>
      <xdr:col>8</xdr:col>
      <xdr:colOff>10280</xdr:colOff>
      <xdr:row>4</xdr:row>
      <xdr:rowOff>74880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-5720040" y="0"/>
          <a:ext cx="874440" cy="760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131414</xdr:colOff>
      <xdr:row>0</xdr:row>
      <xdr:rowOff>96520</xdr:rowOff>
    </xdr:from>
    <xdr:to>
      <xdr:col>9</xdr:col>
      <xdr:colOff>106680</xdr:colOff>
      <xdr:row>3</xdr:row>
      <xdr:rowOff>73786</xdr:rowOff>
    </xdr:to>
    <xdr:pic>
      <xdr:nvPicPr>
        <xdr:cNvPr id="3" name="תמונה 4">
          <a:extLst>
            <a:ext uri="{FF2B5EF4-FFF2-40B4-BE49-F238E27FC236}">
              <a16:creationId xmlns:a16="http://schemas.microsoft.com/office/drawing/2014/main" id="{8450AB20-1728-424A-A98D-BCA942B9A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06870820" y="96520"/>
          <a:ext cx="592486" cy="5030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53340</xdr:rowOff>
    </xdr:from>
    <xdr:to>
      <xdr:col>1</xdr:col>
      <xdr:colOff>1095825</xdr:colOff>
      <xdr:row>7</xdr:row>
      <xdr:rowOff>159840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03182525" y="53340"/>
          <a:ext cx="1072965" cy="96375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1112519</xdr:colOff>
      <xdr:row>1</xdr:row>
      <xdr:rowOff>45719</xdr:rowOff>
    </xdr:from>
    <xdr:to>
      <xdr:col>1</xdr:col>
      <xdr:colOff>1935480</xdr:colOff>
      <xdr:row>5</xdr:row>
      <xdr:rowOff>0</xdr:rowOff>
    </xdr:to>
    <xdr:pic>
      <xdr:nvPicPr>
        <xdr:cNvPr id="3" name="תמונה 4">
          <a:extLst>
            <a:ext uri="{FF2B5EF4-FFF2-40B4-BE49-F238E27FC236}">
              <a16:creationId xmlns:a16="http://schemas.microsoft.com/office/drawing/2014/main" id="{C774963B-A81F-4F12-8010-28339316A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2342870" y="217169"/>
          <a:ext cx="822961" cy="650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9"/>
  <sheetViews>
    <sheetView showGridLines="0" rightToLeft="1" zoomScale="80" zoomScaleNormal="80" workbookViewId="0"/>
  </sheetViews>
  <sheetFormatPr defaultColWidth="9" defaultRowHeight="13.8" x14ac:dyDescent="0.25"/>
  <cols>
    <col min="1" max="1" width="3.21875" style="31" customWidth="1"/>
    <col min="2" max="4" width="9" style="31"/>
    <col min="5" max="5" width="11.88671875" style="31" customWidth="1"/>
    <col min="6" max="16384" width="9" style="31"/>
  </cols>
  <sheetData>
    <row r="1" spans="2:17" x14ac:dyDescent="0.25">
      <c r="B1" s="124" t="s">
        <v>136</v>
      </c>
      <c r="C1" s="125"/>
      <c r="D1" s="125"/>
      <c r="E1" s="125"/>
      <c r="F1" s="125"/>
      <c r="G1" s="125"/>
    </row>
    <row r="2" spans="2:17" x14ac:dyDescent="0.25">
      <c r="B2" s="126"/>
      <c r="C2" s="125"/>
      <c r="D2" s="125"/>
      <c r="E2" s="125"/>
      <c r="F2" s="125"/>
      <c r="G2" s="125"/>
    </row>
    <row r="3" spans="2:17" x14ac:dyDescent="0.25">
      <c r="B3" s="125" t="s">
        <v>0</v>
      </c>
      <c r="C3" s="125"/>
      <c r="D3" s="125"/>
      <c r="E3" s="343" t="s">
        <v>282</v>
      </c>
      <c r="F3" s="125"/>
      <c r="G3" s="125"/>
    </row>
    <row r="4" spans="2:17" x14ac:dyDescent="0.25">
      <c r="B4" s="126"/>
    </row>
    <row r="5" spans="2:17" x14ac:dyDescent="0.25">
      <c r="B5" s="154" t="s">
        <v>137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</row>
    <row r="6" spans="2:17" x14ac:dyDescent="0.25">
      <c r="B6" s="156" t="s">
        <v>138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</row>
    <row r="7" spans="2:17" x14ac:dyDescent="0.25">
      <c r="B7" s="156" t="s">
        <v>176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</row>
    <row r="8" spans="2:17" x14ac:dyDescent="0.25">
      <c r="B8" s="156" t="s">
        <v>139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</row>
    <row r="9" spans="2:17" x14ac:dyDescent="0.25">
      <c r="B9" s="156" t="s">
        <v>140</v>
      </c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</row>
    <row r="10" spans="2:17" x14ac:dyDescent="0.25">
      <c r="B10" s="157" t="s">
        <v>141</v>
      </c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</row>
    <row r="11" spans="2:17" x14ac:dyDescent="0.25">
      <c r="B11" s="156" t="s">
        <v>142</v>
      </c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</row>
    <row r="12" spans="2:17" x14ac:dyDescent="0.25">
      <c r="B12" s="156" t="s">
        <v>143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</row>
    <row r="13" spans="2:17" x14ac:dyDescent="0.25">
      <c r="B13" s="154" t="s">
        <v>144</v>
      </c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</row>
    <row r="14" spans="2:17" x14ac:dyDescent="0.25">
      <c r="B14" s="156" t="s">
        <v>145</v>
      </c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</row>
    <row r="15" spans="2:17" x14ac:dyDescent="0.25">
      <c r="B15" s="156" t="s">
        <v>146</v>
      </c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</row>
    <row r="16" spans="2:17" x14ac:dyDescent="0.25">
      <c r="B16" s="156" t="s">
        <v>147</v>
      </c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</row>
    <row r="17" spans="2:17" x14ac:dyDescent="0.25">
      <c r="B17" s="156" t="s">
        <v>177</v>
      </c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</row>
    <row r="18" spans="2:17" x14ac:dyDescent="0.25">
      <c r="B18" s="156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</row>
    <row r="19" spans="2:17" x14ac:dyDescent="0.25">
      <c r="B19" s="156" t="s">
        <v>178</v>
      </c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</row>
    <row r="20" spans="2:17" x14ac:dyDescent="0.25">
      <c r="B20" s="156" t="s">
        <v>179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</row>
    <row r="21" spans="2:17" x14ac:dyDescent="0.25">
      <c r="B21" s="156"/>
      <c r="C21" s="155" t="s">
        <v>148</v>
      </c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</row>
    <row r="22" spans="2:17" x14ac:dyDescent="0.25">
      <c r="B22" s="156"/>
      <c r="C22" s="155" t="s">
        <v>149</v>
      </c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</row>
    <row r="23" spans="2:17" x14ac:dyDescent="0.25">
      <c r="B23" s="156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</row>
    <row r="24" spans="2:17" x14ac:dyDescent="0.25">
      <c r="B24" s="157" t="s">
        <v>180</v>
      </c>
      <c r="C24" s="158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</row>
    <row r="25" spans="2:17" x14ac:dyDescent="0.25">
      <c r="B25" s="155" t="s">
        <v>150</v>
      </c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</row>
    <row r="26" spans="2:17" x14ac:dyDescent="0.25">
      <c r="B26" s="156" t="s">
        <v>151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</row>
    <row r="27" spans="2:17" x14ac:dyDescent="0.25">
      <c r="B27" s="156" t="s">
        <v>152</v>
      </c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</row>
    <row r="28" spans="2:17" x14ac:dyDescent="0.25">
      <c r="B28" s="156" t="s">
        <v>153</v>
      </c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</row>
    <row r="29" spans="2:17" x14ac:dyDescent="0.25">
      <c r="B29" s="156" t="s">
        <v>154</v>
      </c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</row>
    <row r="30" spans="2:17" x14ac:dyDescent="0.25">
      <c r="B30" s="156" t="s">
        <v>155</v>
      </c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</row>
    <row r="31" spans="2:17" x14ac:dyDescent="0.25">
      <c r="B31" s="156" t="s">
        <v>156</v>
      </c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</row>
    <row r="32" spans="2:17" x14ac:dyDescent="0.25">
      <c r="B32" s="156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</row>
    <row r="33" spans="2:17" x14ac:dyDescent="0.25">
      <c r="B33" s="303" t="s">
        <v>262</v>
      </c>
      <c r="C33" s="303"/>
      <c r="D33" s="303"/>
      <c r="E33" s="303"/>
      <c r="F33" s="303"/>
      <c r="G33" s="303"/>
      <c r="H33" s="303"/>
      <c r="I33" s="303"/>
      <c r="J33" s="155"/>
      <c r="K33" s="155"/>
      <c r="L33" s="155"/>
      <c r="M33" s="155"/>
      <c r="N33" s="155"/>
      <c r="O33" s="155"/>
      <c r="P33" s="155"/>
      <c r="Q33" s="155"/>
    </row>
    <row r="34" spans="2:17" x14ac:dyDescent="0.25">
      <c r="B34" s="155" t="s">
        <v>157</v>
      </c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</row>
    <row r="35" spans="2:17" x14ac:dyDescent="0.25">
      <c r="B35" s="125"/>
    </row>
    <row r="36" spans="2:17" x14ac:dyDescent="0.25">
      <c r="B36" s="125"/>
    </row>
    <row r="37" spans="2:17" x14ac:dyDescent="0.25">
      <c r="B37" s="125"/>
    </row>
    <row r="38" spans="2:17" x14ac:dyDescent="0.25">
      <c r="B38" s="125"/>
    </row>
    <row r="39" spans="2:17" x14ac:dyDescent="0.25">
      <c r="B39" s="125"/>
    </row>
  </sheetData>
  <sheetProtection algorithmName="SHA-512" hashValue="72jZHfBGqfpWldORBpxZj/SwrtysOMskRKzPOXNqmGJCpUXZrA97gBnkQkjHFFIG97kSHhlJ/RmLvwHAGgPlaA==" saltValue="hB91xIt4eR/zEBYxtlK1GA==" spinCount="100000" sheet="1" formatCells="0" formatColumns="0" formatRows="0"/>
  <conditionalFormatting sqref="B33:I33">
    <cfRule type="containsText" dxfId="95" priority="1" operator="containsText" text="נא להסביר חריגה כאן">
      <formula>NOT(ISERROR(SEARCH("נא להסביר חריגה כאן",B33)))</formula>
    </cfRule>
  </conditionalFormatting>
  <pageMargins left="0.70833333333333304" right="0.31527777777777799" top="0.74791666666666701" bottom="0.74791666666666701" header="0.511811023622047" footer="0.511811023622047"/>
  <pageSetup paperSize="9" scale="75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43"/>
  <sheetViews>
    <sheetView showGridLines="0" rightToLeft="1" zoomScale="80" zoomScaleNormal="80" workbookViewId="0"/>
  </sheetViews>
  <sheetFormatPr defaultColWidth="9.109375" defaultRowHeight="13.8" x14ac:dyDescent="0.25"/>
  <cols>
    <col min="1" max="1" width="3.44140625" style="13" customWidth="1"/>
    <col min="2" max="2" width="5" style="13" customWidth="1"/>
    <col min="3" max="3" width="42" style="13" customWidth="1"/>
    <col min="4" max="4" width="24.88671875" style="2" customWidth="1"/>
    <col min="5" max="5" width="30.5546875" style="13" customWidth="1"/>
    <col min="6" max="6" width="9.109375" style="13"/>
    <col min="7" max="7" width="15.6640625" style="13" customWidth="1"/>
    <col min="8" max="16384" width="9.109375" style="13"/>
  </cols>
  <sheetData>
    <row r="1" spans="2:6" x14ac:dyDescent="0.25">
      <c r="B1" s="1" t="str">
        <f>פתיח!$B$1&amp;": גירסת- "&amp;פתיח!$E$3</f>
        <v>תקן ציוד כללי בסיסי למרכזי פעילות יומית לאנשים עם מוגבלות- מרחבים: גירסת- 1.9.2026</v>
      </c>
    </row>
    <row r="2" spans="2:6" x14ac:dyDescent="0.25">
      <c r="B2" s="14"/>
      <c r="C2" s="15"/>
      <c r="D2" s="16"/>
      <c r="E2" s="17"/>
      <c r="F2" s="18"/>
    </row>
    <row r="3" spans="2:6" ht="18" customHeight="1" x14ac:dyDescent="0.25">
      <c r="B3" s="352" t="s">
        <v>1</v>
      </c>
      <c r="C3" s="352"/>
      <c r="D3" s="352"/>
      <c r="E3" s="352"/>
      <c r="F3" s="18"/>
    </row>
    <row r="4" spans="2:6" ht="18" customHeight="1" x14ac:dyDescent="0.25">
      <c r="B4" s="18" t="s">
        <v>2</v>
      </c>
      <c r="C4" s="19"/>
      <c r="D4" s="20"/>
      <c r="E4" s="21"/>
      <c r="F4" s="18"/>
    </row>
    <row r="5" spans="2:6" x14ac:dyDescent="0.25">
      <c r="B5" s="18"/>
      <c r="C5" s="2" t="s">
        <v>3</v>
      </c>
      <c r="D5" s="306"/>
      <c r="E5" s="22"/>
      <c r="F5" s="23" t="str">
        <f>IF(D5="","יש למלא","")</f>
        <v>יש למלא</v>
      </c>
    </row>
    <row r="6" spans="2:6" x14ac:dyDescent="0.25">
      <c r="B6" s="18"/>
      <c r="D6" s="307"/>
      <c r="E6" s="22"/>
      <c r="F6" s="23"/>
    </row>
    <row r="7" spans="2:6" x14ac:dyDescent="0.25">
      <c r="B7" s="18"/>
      <c r="C7" s="2" t="s">
        <v>4</v>
      </c>
      <c r="D7" s="308"/>
      <c r="E7" s="22"/>
      <c r="F7" s="23" t="str">
        <f>IF(D7="","יש למלא","")</f>
        <v>יש למלא</v>
      </c>
    </row>
    <row r="8" spans="2:6" x14ac:dyDescent="0.25">
      <c r="B8" s="18"/>
      <c r="C8" s="2"/>
      <c r="D8" s="307"/>
      <c r="E8" s="22"/>
      <c r="F8" s="23"/>
    </row>
    <row r="9" spans="2:6" x14ac:dyDescent="0.25">
      <c r="B9" s="18"/>
      <c r="C9" s="2" t="s">
        <v>5</v>
      </c>
      <c r="D9" s="308"/>
      <c r="E9" s="22"/>
      <c r="F9" s="23" t="str">
        <f>IF(D9="","יש למלא","")</f>
        <v>יש למלא</v>
      </c>
    </row>
    <row r="10" spans="2:6" x14ac:dyDescent="0.25">
      <c r="B10" s="18"/>
      <c r="C10" s="2"/>
      <c r="D10" s="307"/>
      <c r="E10" s="22"/>
      <c r="F10" s="23"/>
    </row>
    <row r="11" spans="2:6" x14ac:dyDescent="0.25">
      <c r="B11" s="18"/>
      <c r="C11" s="2" t="s">
        <v>6</v>
      </c>
      <c r="D11" s="308"/>
      <c r="E11" s="22"/>
      <c r="F11" s="23" t="str">
        <f>IF(D11="","יש למלא","")</f>
        <v>יש למלא</v>
      </c>
    </row>
    <row r="12" spans="2:6" x14ac:dyDescent="0.25">
      <c r="B12" s="18"/>
      <c r="C12" s="2"/>
      <c r="D12" s="307"/>
      <c r="E12" s="22"/>
      <c r="F12" s="23"/>
    </row>
    <row r="13" spans="2:6" x14ac:dyDescent="0.25">
      <c r="B13" s="18"/>
      <c r="C13" s="2" t="s">
        <v>7</v>
      </c>
      <c r="D13" s="312"/>
      <c r="E13" s="22"/>
      <c r="F13" s="23" t="str">
        <f>IF(D13="","יש למלא","")</f>
        <v>יש למלא</v>
      </c>
    </row>
    <row r="14" spans="2:6" x14ac:dyDescent="0.25">
      <c r="B14" s="18"/>
      <c r="C14" s="2"/>
      <c r="D14" s="313"/>
      <c r="E14" s="22"/>
      <c r="F14" s="23"/>
    </row>
    <row r="15" spans="2:6" x14ac:dyDescent="0.25">
      <c r="B15" s="18"/>
      <c r="C15" s="2" t="s">
        <v>8</v>
      </c>
      <c r="D15" s="312"/>
      <c r="E15" s="22"/>
      <c r="F15" s="23" t="str">
        <f>IF(D15="","יש למלא","")</f>
        <v>יש למלא</v>
      </c>
    </row>
    <row r="16" spans="2:6" x14ac:dyDescent="0.25">
      <c r="B16" s="24"/>
      <c r="C16" s="25"/>
      <c r="D16" s="310"/>
      <c r="E16" s="27"/>
      <c r="F16" s="23"/>
    </row>
    <row r="17" spans="2:6" ht="15" customHeight="1" x14ac:dyDescent="0.25">
      <c r="B17" s="14" t="s">
        <v>9</v>
      </c>
      <c r="C17" s="15"/>
      <c r="D17" s="311"/>
      <c r="E17" s="17"/>
      <c r="F17" s="23"/>
    </row>
    <row r="18" spans="2:6" x14ac:dyDescent="0.25">
      <c r="B18" s="18"/>
      <c r="C18" s="2" t="s">
        <v>10</v>
      </c>
      <c r="D18" s="308"/>
      <c r="E18" s="22"/>
      <c r="F18" s="23" t="str">
        <f>IF(D18="","יש למלא","")</f>
        <v>יש למלא</v>
      </c>
    </row>
    <row r="19" spans="2:6" x14ac:dyDescent="0.25">
      <c r="B19" s="18"/>
      <c r="D19" s="307"/>
      <c r="E19" s="22"/>
      <c r="F19" s="23"/>
    </row>
    <row r="20" spans="2:6" x14ac:dyDescent="0.25">
      <c r="B20" s="18"/>
      <c r="C20" s="2" t="s">
        <v>11</v>
      </c>
      <c r="D20" s="308"/>
      <c r="E20" s="22"/>
      <c r="F20" s="23" t="str">
        <f>IF(D20="","יש למלא","")</f>
        <v>יש למלא</v>
      </c>
    </row>
    <row r="21" spans="2:6" x14ac:dyDescent="0.25">
      <c r="B21" s="18"/>
      <c r="D21" s="307"/>
      <c r="E21" s="22"/>
      <c r="F21" s="23"/>
    </row>
    <row r="22" spans="2:6" x14ac:dyDescent="0.25">
      <c r="B22" s="18"/>
      <c r="C22" s="2" t="s">
        <v>12</v>
      </c>
      <c r="D22" s="308"/>
      <c r="E22" s="22"/>
      <c r="F22" s="23" t="str">
        <f>IF(D22="","יש למלא","")</f>
        <v>יש למלא</v>
      </c>
    </row>
    <row r="23" spans="2:6" x14ac:dyDescent="0.25">
      <c r="B23" s="18"/>
      <c r="C23" s="2"/>
      <c r="D23" s="307"/>
      <c r="E23" s="22"/>
      <c r="F23" s="23"/>
    </row>
    <row r="24" spans="2:6" x14ac:dyDescent="0.25">
      <c r="B24" s="18"/>
      <c r="C24" s="13" t="s">
        <v>13</v>
      </c>
      <c r="D24" s="308"/>
      <c r="E24" s="22"/>
      <c r="F24" s="23" t="str">
        <f>IF(D24="","יש למלא","")</f>
        <v>יש למלא</v>
      </c>
    </row>
    <row r="25" spans="2:6" x14ac:dyDescent="0.25">
      <c r="B25" s="18"/>
      <c r="D25" s="307"/>
      <c r="E25" s="22"/>
      <c r="F25" s="23"/>
    </row>
    <row r="26" spans="2:6" x14ac:dyDescent="0.25">
      <c r="B26" s="18"/>
      <c r="C26" s="2" t="s">
        <v>14</v>
      </c>
      <c r="D26" s="309"/>
      <c r="E26" s="22"/>
      <c r="F26" s="23" t="str">
        <f>IF(D26="","יש למלא","")</f>
        <v>יש למלא</v>
      </c>
    </row>
    <row r="27" spans="2:6" x14ac:dyDescent="0.25">
      <c r="B27" s="24"/>
      <c r="C27" s="26"/>
      <c r="D27" s="310"/>
      <c r="E27" s="27"/>
      <c r="F27" s="23"/>
    </row>
    <row r="28" spans="2:6" ht="15" customHeight="1" x14ac:dyDescent="0.25">
      <c r="B28" s="14" t="s">
        <v>15</v>
      </c>
      <c r="C28" s="15"/>
      <c r="D28" s="311"/>
      <c r="E28" s="17"/>
      <c r="F28" s="23"/>
    </row>
    <row r="29" spans="2:6" hidden="1" x14ac:dyDescent="0.25">
      <c r="B29" s="18"/>
      <c r="C29" s="28" t="s">
        <v>16</v>
      </c>
      <c r="D29" s="308"/>
      <c r="E29" s="22" t="s">
        <v>17</v>
      </c>
      <c r="F29" s="23" t="str">
        <f>IF(D29="","יש לבחור מתוך רשימה","")</f>
        <v>יש לבחור מתוך רשימה</v>
      </c>
    </row>
    <row r="30" spans="2:6" hidden="1" x14ac:dyDescent="0.25">
      <c r="B30" s="18"/>
      <c r="C30" s="28"/>
      <c r="D30" s="307"/>
      <c r="E30" s="22"/>
      <c r="F30" s="23"/>
    </row>
    <row r="31" spans="2:6" hidden="1" x14ac:dyDescent="0.25">
      <c r="B31" s="18"/>
      <c r="C31" s="28" t="s">
        <v>18</v>
      </c>
      <c r="D31" s="308"/>
      <c r="E31" s="22" t="s">
        <v>17</v>
      </c>
      <c r="F31" s="23" t="str">
        <f>IF(D31="","יש לבחור מתוך רשימה","")</f>
        <v>יש לבחור מתוך רשימה</v>
      </c>
    </row>
    <row r="32" spans="2:6" x14ac:dyDescent="0.25">
      <c r="B32" s="18"/>
      <c r="D32" s="307"/>
      <c r="E32" s="22"/>
      <c r="F32" s="23"/>
    </row>
    <row r="33" spans="2:6" x14ac:dyDescent="0.25">
      <c r="B33" s="18"/>
      <c r="C33" s="13" t="s">
        <v>96</v>
      </c>
      <c r="D33" s="308"/>
      <c r="E33" s="29" t="str">
        <f>IF(D33&lt;20,"מספר האנשים בין 20 ל 25",IF(D33&gt;25,"מספר האנשים בין 20 ל 25",""))</f>
        <v>מספר האנשים בין 20 ל 25</v>
      </c>
      <c r="F33" s="23" t="str">
        <f>IF(D33="","יש למלא","")</f>
        <v>יש למלא</v>
      </c>
    </row>
    <row r="34" spans="2:6" x14ac:dyDescent="0.25">
      <c r="B34" s="18"/>
      <c r="D34" s="307"/>
      <c r="E34" s="22"/>
      <c r="F34" s="23"/>
    </row>
    <row r="35" spans="2:6" x14ac:dyDescent="0.25">
      <c r="B35" s="18"/>
      <c r="C35" s="13" t="s">
        <v>19</v>
      </c>
      <c r="D35" s="308"/>
      <c r="E35" s="22"/>
      <c r="F35" s="23" t="str">
        <f>IF(D35="","יש למלא","")</f>
        <v>יש למלא</v>
      </c>
    </row>
    <row r="36" spans="2:6" x14ac:dyDescent="0.25">
      <c r="B36" s="24"/>
      <c r="C36" s="25"/>
      <c r="D36" s="26"/>
      <c r="E36" s="27"/>
    </row>
    <row r="37" spans="2:6" ht="15" customHeight="1" x14ac:dyDescent="0.25">
      <c r="B37" s="14" t="s">
        <v>20</v>
      </c>
      <c r="C37" s="30"/>
      <c r="D37" s="16"/>
      <c r="E37" s="17"/>
    </row>
    <row r="38" spans="2:6" x14ac:dyDescent="0.25">
      <c r="B38" s="18"/>
      <c r="C38" s="13" t="s">
        <v>21</v>
      </c>
      <c r="E38" s="22"/>
    </row>
    <row r="39" spans="2:6" x14ac:dyDescent="0.25">
      <c r="B39" s="314"/>
      <c r="C39" s="31" t="s">
        <v>274</v>
      </c>
      <c r="D39" s="7"/>
      <c r="E39" s="22"/>
    </row>
    <row r="40" spans="2:6" x14ac:dyDescent="0.25">
      <c r="B40" s="18"/>
      <c r="C40" s="13" t="s">
        <v>22</v>
      </c>
      <c r="E40" s="22"/>
    </row>
    <row r="41" spans="2:6" x14ac:dyDescent="0.25">
      <c r="B41" s="18"/>
      <c r="C41" s="13" t="s">
        <v>23</v>
      </c>
      <c r="E41" s="22"/>
    </row>
    <row r="42" spans="2:6" x14ac:dyDescent="0.25">
      <c r="B42" s="18"/>
      <c r="C42" s="13" t="s">
        <v>24</v>
      </c>
      <c r="D42" s="32"/>
      <c r="E42" s="22"/>
    </row>
    <row r="43" spans="2:6" x14ac:dyDescent="0.25">
      <c r="B43" s="24"/>
      <c r="C43" s="25"/>
      <c r="D43" s="26"/>
      <c r="E43" s="27"/>
    </row>
  </sheetData>
  <sheetProtection algorithmName="SHA-512" hashValue="k5g9C7CpoWV59FgQEUzu9Opn3j9L7yjBborOBpKGhmNDDbbzFXQPIDdYAiamzCB9xPNR/5qphwhkPhgnFuhwdw==" saltValue="lYhEABhQW1g45PH3IjhcHQ==" spinCount="100000" sheet="1" formatCells="0" formatColumns="0" formatRows="0"/>
  <mergeCells count="1">
    <mergeCell ref="B3:E3"/>
  </mergeCells>
  <conditionalFormatting sqref="B39">
    <cfRule type="containsText" dxfId="94" priority="1" operator="containsText" text="נא להסביר חריגה כאן">
      <formula>NOT(ISERROR(SEARCH("נא להסביר חריגה כאן",B39)))</formula>
    </cfRule>
  </conditionalFormatting>
  <conditionalFormatting sqref="D26">
    <cfRule type="containsText" dxfId="93" priority="2" operator="containsText" text="נא להסביר חריגה כאן">
      <formula>NOT(ISERROR(SEARCH("נא להסביר חריגה כאן",D26)))</formula>
    </cfRule>
  </conditionalFormatting>
  <dataValidations count="3">
    <dataValidation type="whole" allowBlank="1" showInputMessage="1" showErrorMessage="1" error="נא לכתוב מספר בין 10 ל80" sqref="D34" xr:uid="{00000000-0002-0000-0100-000000000000}">
      <formula1>10</formula1>
      <formula2>80</formula2>
    </dataValidation>
    <dataValidation type="list" allowBlank="1" showInputMessage="1" showErrorMessage="1" sqref="D29" xr:uid="{00000000-0002-0000-0100-000001000000}">
      <formula1>"1,2,3,4,5,6,7,8,9,10"</formula1>
      <formula2>0</formula2>
    </dataValidation>
    <dataValidation type="list" allowBlank="1" showInputMessage="1" showErrorMessage="1" sqref="D31" xr:uid="{00000000-0002-0000-0100-000002000000}">
      <formula1>"כן,לא"</formula1>
      <formula2>0</formula2>
    </dataValidation>
  </dataValidation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2"/>
  <sheetViews>
    <sheetView rightToLeft="1" topLeftCell="A34" zoomScale="80" zoomScaleNormal="80" workbookViewId="0">
      <selection activeCell="F45" sqref="F45"/>
    </sheetView>
  </sheetViews>
  <sheetFormatPr defaultColWidth="9" defaultRowHeight="13.8" outlineLevelCol="1" x14ac:dyDescent="0.25"/>
  <cols>
    <col min="1" max="1" width="5" style="13" customWidth="1"/>
    <col min="2" max="2" width="21.33203125" style="13" customWidth="1"/>
    <col min="3" max="3" width="37.5546875" style="13" customWidth="1"/>
    <col min="4" max="4" width="7.21875" style="13" customWidth="1"/>
    <col min="5" max="5" width="14.109375" style="13" customWidth="1"/>
    <col min="6" max="6" width="12" style="13" customWidth="1"/>
    <col min="7" max="7" width="9" style="13"/>
    <col min="8" max="8" width="15.109375" style="13" customWidth="1"/>
    <col min="9" max="9" width="16.6640625" style="13" customWidth="1"/>
    <col min="10" max="10" width="17" style="13" customWidth="1"/>
    <col min="11" max="11" width="11.109375" style="13" hidden="1" customWidth="1" outlineLevel="1"/>
    <col min="12" max="12" width="0" style="13" hidden="1" customWidth="1" outlineLevel="1"/>
    <col min="13" max="13" width="10.88671875" style="13" hidden="1" customWidth="1" outlineLevel="1"/>
    <col min="14" max="14" width="11" style="13" hidden="1" customWidth="1" outlineLevel="1"/>
    <col min="15" max="15" width="13.44140625" style="13" hidden="1" customWidth="1" outlineLevel="1"/>
    <col min="16" max="16" width="13.6640625" style="33" hidden="1" customWidth="1" outlineLevel="1"/>
    <col min="17" max="17" width="17" style="13" hidden="1" customWidth="1" outlineLevel="1"/>
    <col min="18" max="18" width="10.5546875" style="13" hidden="1" customWidth="1" outlineLevel="1"/>
    <col min="19" max="19" width="14" style="13" hidden="1" customWidth="1" outlineLevel="1"/>
    <col min="20" max="21" width="0" style="13" hidden="1" customWidth="1" outlineLevel="1"/>
    <col min="22" max="22" width="9" style="13" collapsed="1"/>
    <col min="23" max="16384" width="9" style="13"/>
  </cols>
  <sheetData>
    <row r="1" spans="1:22" x14ac:dyDescent="0.25">
      <c r="B1" s="2" t="str">
        <f>'שאלון למילוי הבקשה - חובה'!B1</f>
        <v>תקן ציוד כללי בסיסי למרכזי פעילות יומית לאנשים עם מוגבלות- מרחבים: גירסת- 1.9.2026</v>
      </c>
      <c r="C1" s="6"/>
    </row>
    <row r="2" spans="1:22" ht="15" customHeight="1" x14ac:dyDescent="0.3">
      <c r="A2" s="34"/>
      <c r="B2" s="7" t="str">
        <f>'שאלון למילוי הבקשה - חובה'!$C$7</f>
        <v>שם הגוף המבקש:</v>
      </c>
      <c r="C2" s="7"/>
      <c r="D2" s="340">
        <f>'שאלון למילוי הבקשה - חובה'!$D$7</f>
        <v>0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5"/>
      <c r="Q2" s="31"/>
      <c r="R2" s="31"/>
      <c r="S2" s="31"/>
      <c r="T2" s="31"/>
      <c r="U2" s="31"/>
      <c r="V2" s="31"/>
    </row>
    <row r="3" spans="1:22" ht="15" customHeight="1" x14ac:dyDescent="0.3">
      <c r="A3" s="34"/>
      <c r="B3" s="7" t="str">
        <f>'שאלון למילוי הבקשה - חובה'!$C$18</f>
        <v>שם המסגרת:</v>
      </c>
      <c r="C3" s="7"/>
      <c r="D3" s="340">
        <f>'שאלון למילוי הבקשה - חובה'!$D$18</f>
        <v>0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5"/>
      <c r="Q3" s="31"/>
      <c r="R3" s="31"/>
      <c r="S3" s="31"/>
      <c r="T3" s="31"/>
      <c r="U3" s="31"/>
      <c r="V3" s="31"/>
    </row>
    <row r="4" spans="1:22" ht="15" customHeight="1" x14ac:dyDescent="0.25">
      <c r="A4" s="34"/>
      <c r="B4" s="7" t="str">
        <f>'שאלון למילוי הבקשה - חובה'!$C$33</f>
        <v>מספר האנשים שעבורם מיועד הפרויקט (בין 20 ל-25):</v>
      </c>
      <c r="C4" s="7"/>
      <c r="D4" s="7">
        <f>'שאלון למילוי הבקשה - חובה'!$D$33</f>
        <v>0</v>
      </c>
      <c r="E4" s="117" t="str">
        <f>IF(D4&lt;20,"מספר האנשים בין 20 ל 25",IF(D4&gt;25,"מספר האנשים בין 20 ל 25",""))</f>
        <v>מספר האנשים בין 20 ל 25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5"/>
      <c r="Q4" s="31"/>
      <c r="R4" s="31"/>
      <c r="S4" s="31"/>
      <c r="T4" s="31"/>
      <c r="U4" s="31"/>
      <c r="V4" s="31"/>
    </row>
    <row r="5" spans="1:22" ht="15" customHeight="1" x14ac:dyDescent="0.25">
      <c r="A5" s="34"/>
      <c r="B5" s="7" t="str">
        <f>'שאלון למילוי הבקשה - חובה'!$C$35</f>
        <v>מספר חדרי קבוצות כולל חדרי פעילות וסדנאות:</v>
      </c>
      <c r="C5" s="7"/>
      <c r="D5" s="7">
        <f>'שאלון למילוי הבקשה - חובה'!$D$35</f>
        <v>0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5"/>
      <c r="Q5" s="31"/>
      <c r="R5" s="31"/>
      <c r="S5" s="31"/>
      <c r="T5" s="31"/>
      <c r="U5" s="31"/>
      <c r="V5" s="31"/>
    </row>
    <row r="6" spans="1:22" ht="15" customHeight="1" x14ac:dyDescent="0.25">
      <c r="A6" s="34"/>
      <c r="B6" s="34" t="s">
        <v>223</v>
      </c>
      <c r="C6" s="34"/>
      <c r="D6" s="1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5"/>
      <c r="Q6" s="31"/>
      <c r="R6" s="31"/>
      <c r="S6" s="31"/>
      <c r="T6" s="31"/>
      <c r="U6" s="31"/>
      <c r="V6" s="31"/>
    </row>
    <row r="7" spans="1:22" x14ac:dyDescent="0.25">
      <c r="A7" s="34"/>
      <c r="B7" s="7" t="s">
        <v>97</v>
      </c>
      <c r="C7" s="7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5"/>
      <c r="Q7" s="31"/>
      <c r="R7" s="31"/>
      <c r="S7" s="31"/>
      <c r="T7" s="31"/>
      <c r="U7" s="31"/>
      <c r="V7" s="31"/>
    </row>
    <row r="8" spans="1:22" x14ac:dyDescent="0.25">
      <c r="A8" s="31"/>
      <c r="B8" s="303" t="s">
        <v>275</v>
      </c>
      <c r="C8" s="303"/>
      <c r="D8" s="31"/>
      <c r="E8" s="31"/>
      <c r="F8" s="31"/>
      <c r="H8" s="31"/>
      <c r="I8" s="31"/>
      <c r="J8" s="31"/>
      <c r="K8" s="31"/>
      <c r="L8" s="31"/>
      <c r="M8" s="31"/>
      <c r="N8" s="31"/>
      <c r="O8" s="31"/>
      <c r="P8" s="35"/>
      <c r="Q8" s="31"/>
      <c r="R8" s="31"/>
      <c r="S8" s="31"/>
      <c r="T8" s="31"/>
      <c r="U8" s="31"/>
      <c r="V8" s="31"/>
    </row>
    <row r="9" spans="1:22" x14ac:dyDescent="0.25">
      <c r="A9" s="31"/>
      <c r="B9" s="7" t="s">
        <v>98</v>
      </c>
      <c r="C9" s="7"/>
      <c r="D9" s="31"/>
      <c r="E9" s="31"/>
      <c r="F9" s="31"/>
      <c r="G9" s="31"/>
      <c r="H9" s="31"/>
      <c r="R9" s="31"/>
      <c r="S9" s="31"/>
      <c r="T9" s="31"/>
      <c r="U9" s="31"/>
      <c r="V9" s="31"/>
    </row>
    <row r="10" spans="1:22" ht="15" customHeight="1" x14ac:dyDescent="0.25">
      <c r="A10" s="31">
        <v>1</v>
      </c>
      <c r="B10" s="11" t="s">
        <v>25</v>
      </c>
      <c r="C10" s="11"/>
      <c r="D10" s="1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5"/>
      <c r="Q10" s="31"/>
      <c r="R10" s="31"/>
      <c r="S10" s="31"/>
      <c r="T10" s="31"/>
      <c r="U10" s="31"/>
      <c r="V10" s="31"/>
    </row>
    <row r="11" spans="1:22" x14ac:dyDescent="0.25">
      <c r="A11" s="12">
        <v>1.1000000000000001</v>
      </c>
      <c r="B11" s="36" t="s">
        <v>99</v>
      </c>
      <c r="C11" s="159"/>
      <c r="D11" s="37"/>
      <c r="E11" s="37"/>
      <c r="F11" s="38"/>
      <c r="G11" s="39" t="s">
        <v>100</v>
      </c>
      <c r="H11" s="37"/>
      <c r="I11" s="37"/>
      <c r="J11" s="38"/>
      <c r="K11" s="257" t="s">
        <v>165</v>
      </c>
      <c r="L11" s="258"/>
      <c r="M11" s="258" t="s">
        <v>166</v>
      </c>
      <c r="N11" s="258"/>
      <c r="O11" s="258"/>
      <c r="P11" s="258"/>
      <c r="Q11" s="258"/>
      <c r="R11" s="258"/>
      <c r="S11" s="258"/>
      <c r="T11" s="258"/>
      <c r="U11" s="259"/>
      <c r="V11" s="31"/>
    </row>
    <row r="12" spans="1:22" ht="55.5" customHeight="1" x14ac:dyDescent="0.25">
      <c r="A12" s="40" t="s">
        <v>101</v>
      </c>
      <c r="B12" s="40" t="s">
        <v>26</v>
      </c>
      <c r="C12" s="40" t="s">
        <v>31</v>
      </c>
      <c r="D12" s="40" t="s">
        <v>27</v>
      </c>
      <c r="E12" s="40" t="s">
        <v>102</v>
      </c>
      <c r="F12" s="40" t="s">
        <v>103</v>
      </c>
      <c r="G12" s="40" t="s">
        <v>28</v>
      </c>
      <c r="H12" s="40" t="s">
        <v>104</v>
      </c>
      <c r="I12" s="40" t="s">
        <v>29</v>
      </c>
      <c r="J12" s="40" t="s">
        <v>105</v>
      </c>
      <c r="K12" s="262" t="s">
        <v>106</v>
      </c>
      <c r="L12" s="263" t="s">
        <v>167</v>
      </c>
      <c r="M12" s="264" t="s">
        <v>168</v>
      </c>
      <c r="N12" s="264" t="s">
        <v>169</v>
      </c>
      <c r="O12" s="264" t="s">
        <v>170</v>
      </c>
      <c r="P12" s="265" t="s">
        <v>171</v>
      </c>
      <c r="Q12" s="265" t="s">
        <v>172</v>
      </c>
      <c r="R12" s="264" t="s">
        <v>30</v>
      </c>
      <c r="S12" s="264" t="s">
        <v>173</v>
      </c>
      <c r="T12" s="266" t="s">
        <v>174</v>
      </c>
      <c r="U12" s="267" t="s">
        <v>175</v>
      </c>
      <c r="V12" s="7"/>
    </row>
    <row r="13" spans="1:22" x14ac:dyDescent="0.25">
      <c r="A13" s="42">
        <v>1</v>
      </c>
      <c r="B13" s="40" t="s">
        <v>242</v>
      </c>
      <c r="C13" s="176" t="s">
        <v>243</v>
      </c>
      <c r="D13" s="43">
        <f>ROUNDUP('שאלון למילוי הבקשה - חובה'!$D$33*7/6,0)</f>
        <v>0</v>
      </c>
      <c r="E13" s="44">
        <v>600</v>
      </c>
      <c r="F13" s="44">
        <f t="shared" ref="F13:F23" si="0">D13*E13</f>
        <v>0</v>
      </c>
      <c r="G13" s="273"/>
      <c r="H13" s="274">
        <f t="shared" ref="H13:H23" si="1">E13*G13</f>
        <v>0</v>
      </c>
      <c r="I13" s="187" t="str">
        <f t="shared" ref="I13:I23" si="2">IF(G13&gt;D13,"נא להסביר חריגה","")</f>
        <v/>
      </c>
      <c r="J13" s="275"/>
      <c r="K13" s="276"/>
      <c r="L13" s="277"/>
      <c r="M13" s="278"/>
      <c r="N13" s="279"/>
      <c r="O13" s="280"/>
      <c r="P13" s="281"/>
      <c r="Q13" s="272">
        <f>IF(P13="",0,P13-H13)</f>
        <v>0</v>
      </c>
      <c r="R13" s="282">
        <f>IF(H13=0,0,Q13/H13)</f>
        <v>0</v>
      </c>
      <c r="S13" s="278"/>
      <c r="T13" s="266"/>
      <c r="U13" s="283"/>
      <c r="V13" s="31"/>
    </row>
    <row r="14" spans="1:22" x14ac:dyDescent="0.25">
      <c r="A14" s="42">
        <v>2</v>
      </c>
      <c r="B14" s="261" t="s">
        <v>190</v>
      </c>
      <c r="C14" s="176" t="s">
        <v>245</v>
      </c>
      <c r="D14" s="43">
        <f>ROUNDUP('שאלון למילוי הבקשה - חובה'!$D$33/4,0)</f>
        <v>0</v>
      </c>
      <c r="E14" s="44">
        <v>4000</v>
      </c>
      <c r="F14" s="44">
        <f t="shared" si="0"/>
        <v>0</v>
      </c>
      <c r="G14" s="273"/>
      <c r="H14" s="274">
        <f t="shared" si="1"/>
        <v>0</v>
      </c>
      <c r="I14" s="187" t="str">
        <f t="shared" si="2"/>
        <v/>
      </c>
      <c r="J14" s="275"/>
      <c r="K14" s="276"/>
      <c r="L14" s="277"/>
      <c r="M14" s="278"/>
      <c r="N14" s="279"/>
      <c r="O14" s="280"/>
      <c r="P14" s="281"/>
      <c r="Q14" s="272">
        <f t="shared" ref="Q14:Q23" si="3">IF(P14="",0,P14-H14)</f>
        <v>0</v>
      </c>
      <c r="R14" s="282">
        <f t="shared" ref="R14:R24" si="4">IF(H14=0,0,Q14/H14)</f>
        <v>0</v>
      </c>
      <c r="S14" s="278"/>
      <c r="T14" s="266"/>
      <c r="U14" s="283"/>
      <c r="V14" s="31"/>
    </row>
    <row r="15" spans="1:22" x14ac:dyDescent="0.25">
      <c r="A15" s="42">
        <v>3</v>
      </c>
      <c r="B15" s="261" t="s">
        <v>244</v>
      </c>
      <c r="C15" s="176" t="s">
        <v>202</v>
      </c>
      <c r="D15" s="43">
        <f>ROUNDUP('שאלון למילוי הבקשה - חובה'!$D$33/10,0)</f>
        <v>0</v>
      </c>
      <c r="E15" s="44">
        <v>1200</v>
      </c>
      <c r="F15" s="44">
        <f t="shared" si="0"/>
        <v>0</v>
      </c>
      <c r="G15" s="273"/>
      <c r="H15" s="274">
        <f t="shared" si="1"/>
        <v>0</v>
      </c>
      <c r="I15" s="187" t="str">
        <f t="shared" si="2"/>
        <v/>
      </c>
      <c r="J15" s="275"/>
      <c r="K15" s="276"/>
      <c r="L15" s="277"/>
      <c r="M15" s="278"/>
      <c r="N15" s="279"/>
      <c r="O15" s="280"/>
      <c r="P15" s="281"/>
      <c r="Q15" s="272">
        <f t="shared" si="3"/>
        <v>0</v>
      </c>
      <c r="R15" s="282">
        <f t="shared" si="4"/>
        <v>0</v>
      </c>
      <c r="S15" s="278"/>
      <c r="T15" s="266"/>
      <c r="U15" s="283"/>
      <c r="V15" s="31"/>
    </row>
    <row r="16" spans="1:22" x14ac:dyDescent="0.25">
      <c r="A16" s="42">
        <v>4</v>
      </c>
      <c r="B16" s="40" t="s">
        <v>246</v>
      </c>
      <c r="C16" s="40" t="s">
        <v>238</v>
      </c>
      <c r="D16" s="43">
        <f>ROUNDUP('שאלון למילוי הבקשה - חובה'!$D$33/10,0)</f>
        <v>0</v>
      </c>
      <c r="E16" s="44">
        <v>3500</v>
      </c>
      <c r="F16" s="44">
        <f t="shared" si="0"/>
        <v>0</v>
      </c>
      <c r="G16" s="273"/>
      <c r="H16" s="274">
        <f t="shared" si="1"/>
        <v>0</v>
      </c>
      <c r="I16" s="187" t="str">
        <f t="shared" si="2"/>
        <v/>
      </c>
      <c r="J16" s="275"/>
      <c r="K16" s="276"/>
      <c r="L16" s="277"/>
      <c r="M16" s="278"/>
      <c r="N16" s="279"/>
      <c r="O16" s="280"/>
      <c r="P16" s="281"/>
      <c r="Q16" s="272">
        <f t="shared" si="3"/>
        <v>0</v>
      </c>
      <c r="R16" s="282">
        <f t="shared" si="4"/>
        <v>0</v>
      </c>
      <c r="S16" s="278"/>
      <c r="T16" s="266"/>
      <c r="U16" s="283"/>
      <c r="V16" s="31"/>
    </row>
    <row r="17" spans="1:22" x14ac:dyDescent="0.25">
      <c r="A17" s="42">
        <v>5</v>
      </c>
      <c r="B17" s="40" t="s">
        <v>247</v>
      </c>
      <c r="C17" s="40" t="s">
        <v>238</v>
      </c>
      <c r="D17" s="43">
        <f>ROUNDUP('שאלון למילוי הבקשה - חובה'!$D$33/10,0)</f>
        <v>0</v>
      </c>
      <c r="E17" s="44">
        <v>4500</v>
      </c>
      <c r="F17" s="44">
        <f t="shared" si="0"/>
        <v>0</v>
      </c>
      <c r="G17" s="273"/>
      <c r="H17" s="274">
        <f t="shared" si="1"/>
        <v>0</v>
      </c>
      <c r="I17" s="187" t="str">
        <f t="shared" si="2"/>
        <v/>
      </c>
      <c r="J17" s="275"/>
      <c r="K17" s="276"/>
      <c r="L17" s="277"/>
      <c r="M17" s="278"/>
      <c r="N17" s="279"/>
      <c r="O17" s="280"/>
      <c r="P17" s="281"/>
      <c r="Q17" s="272">
        <f t="shared" si="3"/>
        <v>0</v>
      </c>
      <c r="R17" s="282">
        <f t="shared" si="4"/>
        <v>0</v>
      </c>
      <c r="S17" s="278"/>
      <c r="T17" s="266"/>
      <c r="U17" s="283"/>
      <c r="V17" s="31"/>
    </row>
    <row r="18" spans="1:22" x14ac:dyDescent="0.25">
      <c r="A18" s="42">
        <v>6</v>
      </c>
      <c r="B18" s="40" t="s">
        <v>227</v>
      </c>
      <c r="C18" s="40" t="s">
        <v>263</v>
      </c>
      <c r="D18" s="43">
        <f>ROUNDUP('שאלון למילוי הבקשה - חובה'!$D$33/10,0)</f>
        <v>0</v>
      </c>
      <c r="E18" s="44">
        <v>1500</v>
      </c>
      <c r="F18" s="44">
        <f t="shared" si="0"/>
        <v>0</v>
      </c>
      <c r="G18" s="273"/>
      <c r="H18" s="274">
        <f t="shared" si="1"/>
        <v>0</v>
      </c>
      <c r="I18" s="187" t="str">
        <f t="shared" si="2"/>
        <v/>
      </c>
      <c r="J18" s="275"/>
      <c r="K18" s="276"/>
      <c r="L18" s="277"/>
      <c r="M18" s="278"/>
      <c r="N18" s="279"/>
      <c r="O18" s="280"/>
      <c r="P18" s="281"/>
      <c r="Q18" s="272">
        <f t="shared" si="3"/>
        <v>0</v>
      </c>
      <c r="R18" s="282">
        <f t="shared" si="4"/>
        <v>0</v>
      </c>
      <c r="S18" s="278"/>
      <c r="T18" s="266"/>
      <c r="U18" s="283"/>
      <c r="V18" s="31"/>
    </row>
    <row r="19" spans="1:22" x14ac:dyDescent="0.25">
      <c r="A19" s="42">
        <v>7</v>
      </c>
      <c r="B19" s="261" t="s">
        <v>248</v>
      </c>
      <c r="C19" s="176" t="s">
        <v>249</v>
      </c>
      <c r="D19" s="43">
        <f>ROUNDUP('שאלון למילוי הבקשה - חובה'!$D$33*1.1,0)</f>
        <v>0</v>
      </c>
      <c r="E19" s="44">
        <v>500</v>
      </c>
      <c r="F19" s="44">
        <f t="shared" si="0"/>
        <v>0</v>
      </c>
      <c r="G19" s="273"/>
      <c r="H19" s="274">
        <f t="shared" si="1"/>
        <v>0</v>
      </c>
      <c r="I19" s="187" t="str">
        <f t="shared" si="2"/>
        <v/>
      </c>
      <c r="J19" s="275"/>
      <c r="K19" s="276"/>
      <c r="L19" s="277"/>
      <c r="M19" s="278"/>
      <c r="N19" s="279"/>
      <c r="O19" s="280"/>
      <c r="P19" s="281"/>
      <c r="Q19" s="272">
        <f t="shared" si="3"/>
        <v>0</v>
      </c>
      <c r="R19" s="282">
        <f t="shared" si="4"/>
        <v>0</v>
      </c>
      <c r="S19" s="278"/>
      <c r="T19" s="266"/>
      <c r="U19" s="283"/>
      <c r="V19" s="31"/>
    </row>
    <row r="20" spans="1:22" ht="14.4" x14ac:dyDescent="0.3">
      <c r="A20" s="42">
        <v>8</v>
      </c>
      <c r="B20" s="40" t="s">
        <v>251</v>
      </c>
      <c r="C20" s="40" t="s">
        <v>250</v>
      </c>
      <c r="D20" s="353">
        <f>'שאלון למילוי הבקשה - חובה'!$D$35+1</f>
        <v>1</v>
      </c>
      <c r="E20" s="44">
        <v>400</v>
      </c>
      <c r="F20" s="354">
        <f t="shared" si="0"/>
        <v>400</v>
      </c>
      <c r="G20" s="273"/>
      <c r="H20" s="274">
        <f t="shared" si="1"/>
        <v>0</v>
      </c>
      <c r="I20" s="187" t="str">
        <f t="shared" si="2"/>
        <v/>
      </c>
      <c r="J20" s="275"/>
      <c r="K20" s="276"/>
      <c r="L20" s="277"/>
      <c r="M20" s="278"/>
      <c r="N20" s="279"/>
      <c r="O20" s="280"/>
      <c r="P20" s="281"/>
      <c r="Q20" s="272">
        <f t="shared" si="3"/>
        <v>0</v>
      </c>
      <c r="R20" s="282">
        <f t="shared" si="4"/>
        <v>0</v>
      </c>
      <c r="S20" s="278"/>
      <c r="T20" s="266"/>
      <c r="U20" s="283"/>
      <c r="V20" s="31"/>
    </row>
    <row r="21" spans="1:22" ht="14.4" x14ac:dyDescent="0.3">
      <c r="A21" s="42">
        <v>9</v>
      </c>
      <c r="B21" s="40" t="s">
        <v>252</v>
      </c>
      <c r="C21" s="40" t="s">
        <v>250</v>
      </c>
      <c r="D21" s="353">
        <f>'שאלון למילוי הבקשה - חובה'!$D$35+1</f>
        <v>1</v>
      </c>
      <c r="E21" s="44">
        <v>200</v>
      </c>
      <c r="F21" s="354">
        <f t="shared" si="0"/>
        <v>200</v>
      </c>
      <c r="G21" s="273"/>
      <c r="H21" s="274">
        <f t="shared" si="1"/>
        <v>0</v>
      </c>
      <c r="I21" s="187" t="str">
        <f t="shared" si="2"/>
        <v/>
      </c>
      <c r="J21" s="275"/>
      <c r="K21" s="276"/>
      <c r="L21" s="277"/>
      <c r="M21" s="278"/>
      <c r="N21" s="279"/>
      <c r="O21" s="280"/>
      <c r="P21" s="281"/>
      <c r="Q21" s="272">
        <f t="shared" si="3"/>
        <v>0</v>
      </c>
      <c r="R21" s="282">
        <f t="shared" si="4"/>
        <v>0</v>
      </c>
      <c r="S21" s="278"/>
      <c r="T21" s="266"/>
      <c r="U21" s="283"/>
      <c r="V21" s="31"/>
    </row>
    <row r="22" spans="1:22" ht="28.2" x14ac:dyDescent="0.3">
      <c r="A22" s="42">
        <v>10</v>
      </c>
      <c r="B22" s="261" t="s">
        <v>253</v>
      </c>
      <c r="C22" s="176" t="s">
        <v>254</v>
      </c>
      <c r="D22" s="46">
        <f>ROUNDUP('שאלון למילוי הבקשה - חובה'!$D$35*1.5,0)</f>
        <v>0</v>
      </c>
      <c r="E22" s="44">
        <v>6000</v>
      </c>
      <c r="F22" s="44">
        <f t="shared" si="0"/>
        <v>0</v>
      </c>
      <c r="G22" s="273"/>
      <c r="H22" s="274">
        <f t="shared" si="1"/>
        <v>0</v>
      </c>
      <c r="I22" s="187" t="str">
        <f t="shared" si="2"/>
        <v/>
      </c>
      <c r="J22" s="275"/>
      <c r="K22" s="276"/>
      <c r="L22" s="277"/>
      <c r="M22" s="278"/>
      <c r="N22" s="279"/>
      <c r="O22" s="280"/>
      <c r="P22" s="281"/>
      <c r="Q22" s="272">
        <f t="shared" si="3"/>
        <v>0</v>
      </c>
      <c r="R22" s="282">
        <f t="shared" si="4"/>
        <v>0</v>
      </c>
      <c r="S22" s="278"/>
      <c r="T22" s="266"/>
      <c r="U22" s="283"/>
      <c r="V22" s="31"/>
    </row>
    <row r="23" spans="1:22" ht="14.4" x14ac:dyDescent="0.3">
      <c r="A23" s="42">
        <v>11</v>
      </c>
      <c r="B23" s="261" t="s">
        <v>256</v>
      </c>
      <c r="C23" s="176" t="s">
        <v>255</v>
      </c>
      <c r="D23" s="46">
        <f>ROUNDUP('שאלון למילוי הבקשה - חובה'!$D$35*1.3,0)</f>
        <v>0</v>
      </c>
      <c r="E23" s="44">
        <v>300</v>
      </c>
      <c r="F23" s="44">
        <f t="shared" si="0"/>
        <v>0</v>
      </c>
      <c r="G23" s="273"/>
      <c r="H23" s="274">
        <f t="shared" si="1"/>
        <v>0</v>
      </c>
      <c r="I23" s="187" t="str">
        <f t="shared" si="2"/>
        <v/>
      </c>
      <c r="J23" s="275"/>
      <c r="K23" s="276"/>
      <c r="L23" s="277"/>
      <c r="M23" s="278"/>
      <c r="N23" s="279"/>
      <c r="O23" s="280"/>
      <c r="P23" s="281"/>
      <c r="Q23" s="272">
        <f t="shared" si="3"/>
        <v>0</v>
      </c>
      <c r="R23" s="282">
        <f t="shared" si="4"/>
        <v>0</v>
      </c>
      <c r="S23" s="278"/>
      <c r="T23" s="266"/>
      <c r="U23" s="283"/>
      <c r="V23" s="31"/>
    </row>
    <row r="24" spans="1:22" s="1" customFormat="1" ht="27.6" x14ac:dyDescent="0.25">
      <c r="A24" s="121"/>
      <c r="B24" s="119" t="s">
        <v>32</v>
      </c>
      <c r="C24" s="119"/>
      <c r="D24" s="43"/>
      <c r="E24" s="43"/>
      <c r="F24" s="43">
        <f>SUM(F13:F23)</f>
        <v>600</v>
      </c>
      <c r="G24" s="162"/>
      <c r="H24" s="43">
        <f>SUM(H13:H23)</f>
        <v>0</v>
      </c>
      <c r="I24" s="43"/>
      <c r="J24" s="43"/>
      <c r="K24" s="43">
        <f>SUM(K13:K23)</f>
        <v>0</v>
      </c>
      <c r="L24" s="208"/>
      <c r="M24" s="209"/>
      <c r="N24" s="210"/>
      <c r="O24" s="211"/>
      <c r="P24" s="43">
        <f>SUM(P13:P23)</f>
        <v>0</v>
      </c>
      <c r="Q24" s="43">
        <f>SUM(Q13:Q23)</f>
        <v>0</v>
      </c>
      <c r="R24" s="282">
        <f t="shared" si="4"/>
        <v>0</v>
      </c>
      <c r="S24" s="214"/>
      <c r="T24" s="215"/>
      <c r="U24" s="216"/>
      <c r="V24" s="67"/>
    </row>
    <row r="25" spans="1:22" x14ac:dyDescent="0.25">
      <c r="A25" s="31"/>
      <c r="B25" s="48"/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50"/>
      <c r="O25" s="31"/>
      <c r="P25" s="35"/>
      <c r="Q25" s="31"/>
      <c r="R25" s="31"/>
      <c r="S25" s="31"/>
      <c r="T25" s="31"/>
      <c r="U25" s="31"/>
      <c r="V25" s="31"/>
    </row>
    <row r="26" spans="1:22" x14ac:dyDescent="0.25">
      <c r="A26" s="12">
        <v>1.2</v>
      </c>
      <c r="B26" s="36" t="s">
        <v>107</v>
      </c>
      <c r="C26" s="159"/>
      <c r="D26" s="37"/>
      <c r="E26" s="37"/>
      <c r="F26" s="38"/>
      <c r="G26" s="39" t="s">
        <v>108</v>
      </c>
      <c r="H26" s="37"/>
      <c r="I26" s="37"/>
      <c r="J26" s="38"/>
      <c r="K26" s="257" t="s">
        <v>165</v>
      </c>
      <c r="L26" s="258"/>
      <c r="M26" s="258" t="s">
        <v>166</v>
      </c>
      <c r="N26" s="258"/>
      <c r="O26" s="258"/>
      <c r="P26" s="258"/>
      <c r="Q26" s="258"/>
      <c r="R26" s="258"/>
      <c r="S26" s="258"/>
      <c r="T26" s="258"/>
      <c r="U26" s="259"/>
      <c r="V26" s="31"/>
    </row>
    <row r="27" spans="1:22" ht="55.5" customHeight="1" x14ac:dyDescent="0.25">
      <c r="A27" s="40" t="str">
        <f t="shared" ref="A27:J27" si="5">A$12</f>
        <v xml:space="preserve">מס'  </v>
      </c>
      <c r="B27" s="40" t="str">
        <f t="shared" si="5"/>
        <v xml:space="preserve">ציוד </v>
      </c>
      <c r="C27" s="40"/>
      <c r="D27" s="40" t="str">
        <f t="shared" si="5"/>
        <v xml:space="preserve">כמות תקן   </v>
      </c>
      <c r="E27" s="40" t="str">
        <f t="shared" si="5"/>
        <v xml:space="preserve">מחיר התקן ליחידה כולל מע"מ   </v>
      </c>
      <c r="F27" s="40" t="str">
        <f t="shared" si="5"/>
        <v>עלות ציוד התקן כולל מע"מ</v>
      </c>
      <c r="G27" s="40" t="str">
        <f t="shared" si="5"/>
        <v>כמות הציוד המבוקש</v>
      </c>
      <c r="H27" s="40" t="str">
        <f t="shared" si="5"/>
        <v xml:space="preserve">סך עלות הציוד המבוקש כולל מע"מ  </v>
      </c>
      <c r="I27" s="40" t="str">
        <f t="shared" si="5"/>
        <v>התראת חריגה</v>
      </c>
      <c r="J27" s="40" t="str">
        <f t="shared" si="5"/>
        <v>הערות/ הסבר חריגות</v>
      </c>
      <c r="K27" s="262" t="s">
        <v>106</v>
      </c>
      <c r="L27" s="263" t="s">
        <v>167</v>
      </c>
      <c r="M27" s="264" t="s">
        <v>168</v>
      </c>
      <c r="N27" s="264" t="s">
        <v>169</v>
      </c>
      <c r="O27" s="264" t="s">
        <v>170</v>
      </c>
      <c r="P27" s="265" t="s">
        <v>171</v>
      </c>
      <c r="Q27" s="265" t="s">
        <v>172</v>
      </c>
      <c r="R27" s="264" t="s">
        <v>30</v>
      </c>
      <c r="S27" s="264" t="s">
        <v>173</v>
      </c>
      <c r="T27" s="266" t="s">
        <v>174</v>
      </c>
      <c r="U27" s="267" t="s">
        <v>175</v>
      </c>
      <c r="V27" s="31"/>
    </row>
    <row r="28" spans="1:22" x14ac:dyDescent="0.25">
      <c r="A28" s="42">
        <v>1</v>
      </c>
      <c r="B28" s="261" t="s">
        <v>230</v>
      </c>
      <c r="C28" s="40"/>
      <c r="D28" s="44">
        <v>1</v>
      </c>
      <c r="E28" s="44">
        <v>5000</v>
      </c>
      <c r="F28" s="44">
        <f>D28*E28</f>
        <v>5000</v>
      </c>
      <c r="G28" s="273"/>
      <c r="H28" s="274">
        <f>E28*G28</f>
        <v>0</v>
      </c>
      <c r="I28" s="187" t="str">
        <f>IF(G28&gt;D28,"נא להסביר חריגה","")</f>
        <v/>
      </c>
      <c r="J28" s="275"/>
      <c r="K28" s="276"/>
      <c r="L28" s="277"/>
      <c r="M28" s="278"/>
      <c r="N28" s="279"/>
      <c r="O28" s="280"/>
      <c r="P28" s="281"/>
      <c r="Q28" s="272">
        <f>IF(P28="",0,P28-H28)</f>
        <v>0</v>
      </c>
      <c r="R28" s="282">
        <f>IF(H28=0,0,Q28/H28)</f>
        <v>0</v>
      </c>
      <c r="S28" s="278"/>
      <c r="T28" s="266"/>
      <c r="U28" s="283"/>
      <c r="V28" s="31"/>
    </row>
    <row r="29" spans="1:22" x14ac:dyDescent="0.25">
      <c r="A29" s="42">
        <v>2</v>
      </c>
      <c r="B29" s="261" t="s">
        <v>33</v>
      </c>
      <c r="C29" s="40"/>
      <c r="D29" s="44">
        <v>1</v>
      </c>
      <c r="E29" s="44">
        <v>1500</v>
      </c>
      <c r="F29" s="44">
        <f>D29*E29</f>
        <v>1500</v>
      </c>
      <c r="G29" s="273"/>
      <c r="H29" s="274">
        <f>E29*G29</f>
        <v>0</v>
      </c>
      <c r="I29" s="187" t="str">
        <f>IF(G29&gt;D29,"נא להסביר חריגה","")</f>
        <v/>
      </c>
      <c r="J29" s="275"/>
      <c r="K29" s="276"/>
      <c r="L29" s="277"/>
      <c r="M29" s="278"/>
      <c r="N29" s="279"/>
      <c r="O29" s="280"/>
      <c r="P29" s="281"/>
      <c r="Q29" s="272">
        <f t="shared" ref="Q29:Q30" si="6">IF(P29="",0,P29-H29)</f>
        <v>0</v>
      </c>
      <c r="R29" s="282">
        <f t="shared" ref="R29:R31" si="7">IF(H29=0,0,Q29/H29)</f>
        <v>0</v>
      </c>
      <c r="S29" s="278"/>
      <c r="T29" s="266"/>
      <c r="U29" s="283"/>
      <c r="V29" s="31"/>
    </row>
    <row r="30" spans="1:22" x14ac:dyDescent="0.25">
      <c r="A30" s="42">
        <v>3</v>
      </c>
      <c r="B30" s="261" t="s">
        <v>239</v>
      </c>
      <c r="C30" s="40"/>
      <c r="D30" s="44">
        <v>2</v>
      </c>
      <c r="E30" s="44">
        <v>6000</v>
      </c>
      <c r="F30" s="44">
        <f>D30*E30</f>
        <v>12000</v>
      </c>
      <c r="G30" s="273"/>
      <c r="H30" s="274">
        <f>E30*G30</f>
        <v>0</v>
      </c>
      <c r="I30" s="187" t="str">
        <f>IF(G30&gt;D30,"נא להסביר חריגה","")</f>
        <v/>
      </c>
      <c r="J30" s="275"/>
      <c r="K30" s="276"/>
      <c r="L30" s="277"/>
      <c r="M30" s="278"/>
      <c r="N30" s="279"/>
      <c r="O30" s="280"/>
      <c r="P30" s="281"/>
      <c r="Q30" s="272">
        <f t="shared" si="6"/>
        <v>0</v>
      </c>
      <c r="R30" s="282">
        <f t="shared" si="7"/>
        <v>0</v>
      </c>
      <c r="S30" s="278"/>
      <c r="T30" s="266"/>
      <c r="U30" s="283"/>
      <c r="V30" s="31"/>
    </row>
    <row r="31" spans="1:22" s="1" customFormat="1" ht="27.6" x14ac:dyDescent="0.25">
      <c r="A31" s="121"/>
      <c r="B31" s="119" t="s">
        <v>34</v>
      </c>
      <c r="C31" s="119"/>
      <c r="D31" s="43"/>
      <c r="E31" s="43"/>
      <c r="F31" s="43">
        <f>SUM(F28:F30)</f>
        <v>18500</v>
      </c>
      <c r="G31" s="122"/>
      <c r="H31" s="43">
        <f>SUM(H28:H30)</f>
        <v>0</v>
      </c>
      <c r="I31" s="302" t="str">
        <f>IF(G31&gt;D31,"נא להסביר חריגה כאן","")</f>
        <v/>
      </c>
      <c r="J31" s="302"/>
      <c r="K31" s="43">
        <f>SUM(K28:K30)</f>
        <v>0</v>
      </c>
      <c r="L31" s="208"/>
      <c r="M31" s="209"/>
      <c r="N31" s="210"/>
      <c r="O31" s="211"/>
      <c r="P31" s="43">
        <f>SUM(P28:P30)</f>
        <v>0</v>
      </c>
      <c r="Q31" s="43">
        <f>SUM(Q28:Q30)</f>
        <v>0</v>
      </c>
      <c r="R31" s="282">
        <f t="shared" si="7"/>
        <v>0</v>
      </c>
      <c r="S31" s="214"/>
      <c r="T31" s="215"/>
      <c r="U31" s="216"/>
      <c r="V31" s="67"/>
    </row>
    <row r="32" spans="1:22" x14ac:dyDescent="0.25">
      <c r="A32" s="49"/>
      <c r="B32" s="52"/>
      <c r="C32" s="52"/>
      <c r="D32" s="53"/>
      <c r="E32" s="53"/>
      <c r="F32" s="53"/>
      <c r="G32" s="54"/>
      <c r="H32" s="54"/>
      <c r="I32" s="54"/>
      <c r="J32" s="54"/>
      <c r="K32" s="54"/>
      <c r="L32" s="54"/>
      <c r="M32" s="55"/>
      <c r="N32" s="56"/>
      <c r="O32" s="31"/>
      <c r="P32" s="35"/>
      <c r="Q32" s="31"/>
      <c r="R32" s="31"/>
      <c r="S32" s="31"/>
      <c r="T32" s="31"/>
      <c r="U32" s="31"/>
      <c r="V32" s="31"/>
    </row>
    <row r="33" spans="1:22" x14ac:dyDescent="0.25">
      <c r="A33" s="12">
        <v>1.3</v>
      </c>
      <c r="B33" s="36" t="s">
        <v>109</v>
      </c>
      <c r="C33" s="159"/>
      <c r="D33" s="37"/>
      <c r="E33" s="37"/>
      <c r="F33" s="38"/>
      <c r="G33" s="39" t="s">
        <v>110</v>
      </c>
      <c r="H33" s="37"/>
      <c r="I33" s="37"/>
      <c r="J33" s="38"/>
      <c r="K33" s="257" t="s">
        <v>165</v>
      </c>
      <c r="L33" s="258"/>
      <c r="M33" s="258" t="s">
        <v>166</v>
      </c>
      <c r="N33" s="258"/>
      <c r="O33" s="258"/>
      <c r="P33" s="258"/>
      <c r="Q33" s="258"/>
      <c r="R33" s="258"/>
      <c r="S33" s="258"/>
      <c r="T33" s="258"/>
      <c r="U33" s="259"/>
      <c r="V33" s="31"/>
    </row>
    <row r="34" spans="1:22" ht="55.5" customHeight="1" x14ac:dyDescent="0.25">
      <c r="A34" s="40" t="str">
        <f t="shared" ref="A34:J34" si="8">A$12</f>
        <v xml:space="preserve">מס'  </v>
      </c>
      <c r="B34" s="40" t="str">
        <f t="shared" si="8"/>
        <v xml:space="preserve">ציוד </v>
      </c>
      <c r="C34" s="40"/>
      <c r="D34" s="40" t="str">
        <f t="shared" si="8"/>
        <v xml:space="preserve">כמות תקן   </v>
      </c>
      <c r="E34" s="40" t="str">
        <f t="shared" si="8"/>
        <v xml:space="preserve">מחיר התקן ליחידה כולל מע"מ   </v>
      </c>
      <c r="F34" s="40" t="str">
        <f t="shared" si="8"/>
        <v>עלות ציוד התקן כולל מע"מ</v>
      </c>
      <c r="G34" s="40" t="str">
        <f t="shared" si="8"/>
        <v>כמות הציוד המבוקש</v>
      </c>
      <c r="H34" s="40" t="str">
        <f t="shared" si="8"/>
        <v xml:space="preserve">סך עלות הציוד המבוקש כולל מע"מ  </v>
      </c>
      <c r="I34" s="40" t="str">
        <f t="shared" si="8"/>
        <v>התראת חריגה</v>
      </c>
      <c r="J34" s="40" t="str">
        <f t="shared" si="8"/>
        <v>הערות/ הסבר חריגות</v>
      </c>
      <c r="K34" s="262" t="s">
        <v>106</v>
      </c>
      <c r="L34" s="263" t="s">
        <v>167</v>
      </c>
      <c r="M34" s="264" t="s">
        <v>168</v>
      </c>
      <c r="N34" s="264" t="s">
        <v>169</v>
      </c>
      <c r="O34" s="264" t="s">
        <v>170</v>
      </c>
      <c r="P34" s="265" t="s">
        <v>171</v>
      </c>
      <c r="Q34" s="265" t="s">
        <v>172</v>
      </c>
      <c r="R34" s="264" t="s">
        <v>30</v>
      </c>
      <c r="S34" s="264" t="s">
        <v>173</v>
      </c>
      <c r="T34" s="266" t="s">
        <v>174</v>
      </c>
      <c r="U34" s="267" t="s">
        <v>175</v>
      </c>
      <c r="V34" s="31"/>
    </row>
    <row r="35" spans="1:22" x14ac:dyDescent="0.25">
      <c r="A35" s="42">
        <v>1</v>
      </c>
      <c r="B35" s="261" t="s">
        <v>240</v>
      </c>
      <c r="C35" s="176" t="s">
        <v>266</v>
      </c>
      <c r="D35" s="43">
        <f>ROUNDUP('שאלון למילוי הבקשה - חובה'!$D$33/10,0)</f>
        <v>0</v>
      </c>
      <c r="E35" s="301">
        <v>6000</v>
      </c>
      <c r="F35" s="44">
        <f>D35*E35</f>
        <v>0</v>
      </c>
      <c r="G35" s="273"/>
      <c r="H35" s="274">
        <f>E35*G35</f>
        <v>0</v>
      </c>
      <c r="I35" s="187" t="str">
        <f>IF(G35&gt;D35,"נא להסביר חריגה","")</f>
        <v/>
      </c>
      <c r="J35" s="275"/>
      <c r="K35" s="276"/>
      <c r="L35" s="277"/>
      <c r="M35" s="278"/>
      <c r="N35" s="279"/>
      <c r="O35" s="280"/>
      <c r="P35" s="281"/>
      <c r="Q35" s="272">
        <f>IF(P35="",0,P35-H35)</f>
        <v>0</v>
      </c>
      <c r="R35" s="282">
        <f>IF(H35=0,0,Q35/H35)</f>
        <v>0</v>
      </c>
      <c r="S35" s="278"/>
      <c r="T35" s="266"/>
      <c r="U35" s="283"/>
      <c r="V35" s="31"/>
    </row>
    <row r="36" spans="1:22" x14ac:dyDescent="0.25">
      <c r="A36" s="42">
        <v>2</v>
      </c>
      <c r="B36" s="261" t="s">
        <v>241</v>
      </c>
      <c r="C36" s="40" t="s">
        <v>238</v>
      </c>
      <c r="D36" s="43">
        <f>ROUNDUP('שאלון למילוי הבקשה - חובה'!$D$33/10,0)</f>
        <v>0</v>
      </c>
      <c r="E36" s="301">
        <v>5000</v>
      </c>
      <c r="F36" s="44">
        <f>D36*E36</f>
        <v>0</v>
      </c>
      <c r="G36" s="273"/>
      <c r="H36" s="274">
        <f>E36*G36</f>
        <v>0</v>
      </c>
      <c r="I36" s="187" t="str">
        <f>IF(G36&gt;D36,"נא להסביר חריגה","")</f>
        <v/>
      </c>
      <c r="J36" s="275"/>
      <c r="K36" s="276"/>
      <c r="L36" s="277"/>
      <c r="M36" s="278"/>
      <c r="N36" s="279"/>
      <c r="O36" s="280"/>
      <c r="P36" s="281"/>
      <c r="Q36" s="272">
        <f>IF(P36="",0,P36-H36)</f>
        <v>0</v>
      </c>
      <c r="R36" s="282">
        <f>IF(H36=0,0,Q36/H36)</f>
        <v>0</v>
      </c>
      <c r="S36" s="278"/>
      <c r="T36" s="266"/>
      <c r="U36" s="283"/>
      <c r="V36" s="31"/>
    </row>
    <row r="37" spans="1:22" s="1" customFormat="1" x14ac:dyDescent="0.25">
      <c r="A37" s="121"/>
      <c r="B37" s="119" t="s">
        <v>111</v>
      </c>
      <c r="C37" s="119"/>
      <c r="D37" s="43"/>
      <c r="E37" s="43"/>
      <c r="F37" s="43">
        <f>SUM(F35:F36)</f>
        <v>0</v>
      </c>
      <c r="G37" s="122"/>
      <c r="H37" s="43">
        <f>SUM(H35:H36)</f>
        <v>0</v>
      </c>
      <c r="I37" s="302" t="str">
        <f>IF(G37&gt;D37,"נא להסביר חריגה כאן","")</f>
        <v/>
      </c>
      <c r="J37" s="302"/>
      <c r="K37" s="43">
        <f>SUM(K35:K36)</f>
        <v>0</v>
      </c>
      <c r="L37" s="208"/>
      <c r="M37" s="209"/>
      <c r="N37" s="210"/>
      <c r="O37" s="211"/>
      <c r="P37" s="43">
        <f t="shared" ref="P37:Q37" si="9">SUM(P35:P36)</f>
        <v>0</v>
      </c>
      <c r="Q37" s="43">
        <f t="shared" si="9"/>
        <v>0</v>
      </c>
      <c r="R37" s="282">
        <f t="shared" ref="R37" si="10">IF(H37=0,0,Q37/H37)</f>
        <v>0</v>
      </c>
      <c r="S37" s="214"/>
      <c r="T37" s="215"/>
      <c r="U37" s="216"/>
      <c r="V37" s="67"/>
    </row>
    <row r="38" spans="1:22" x14ac:dyDescent="0.25">
      <c r="A38" s="49"/>
      <c r="B38" s="48"/>
      <c r="C38" s="48"/>
      <c r="D38" s="53"/>
      <c r="E38" s="53"/>
      <c r="F38" s="53"/>
      <c r="G38" s="53"/>
      <c r="H38" s="31"/>
      <c r="I38" s="31"/>
      <c r="J38" s="31"/>
      <c r="K38" s="31"/>
      <c r="L38" s="31"/>
      <c r="M38" s="31"/>
      <c r="N38" s="31"/>
      <c r="O38" s="31"/>
      <c r="P38" s="35"/>
      <c r="Q38" s="31"/>
      <c r="R38" s="31"/>
      <c r="S38" s="31"/>
      <c r="T38" s="31"/>
      <c r="U38" s="31"/>
      <c r="V38" s="31"/>
    </row>
    <row r="39" spans="1:22" x14ac:dyDescent="0.25">
      <c r="A39" s="12">
        <v>1.4</v>
      </c>
      <c r="B39" s="36" t="s">
        <v>112</v>
      </c>
      <c r="C39" s="159"/>
      <c r="D39" s="37"/>
      <c r="E39" s="37"/>
      <c r="F39" s="38"/>
      <c r="G39" s="39" t="s">
        <v>113</v>
      </c>
      <c r="H39" s="37"/>
      <c r="I39" s="37"/>
      <c r="J39" s="38"/>
      <c r="K39" s="257" t="s">
        <v>165</v>
      </c>
      <c r="L39" s="258"/>
      <c r="M39" s="258" t="s">
        <v>166</v>
      </c>
      <c r="N39" s="258"/>
      <c r="O39" s="258"/>
      <c r="P39" s="258"/>
      <c r="Q39" s="258"/>
      <c r="R39" s="258"/>
      <c r="S39" s="258"/>
      <c r="T39" s="258"/>
      <c r="U39" s="259"/>
      <c r="V39" s="31"/>
    </row>
    <row r="40" spans="1:22" ht="55.5" customHeight="1" x14ac:dyDescent="0.25">
      <c r="A40" s="40" t="str">
        <f t="shared" ref="A40:J40" si="11">A$12</f>
        <v xml:space="preserve">מס'  </v>
      </c>
      <c r="B40" s="40" t="str">
        <f t="shared" si="11"/>
        <v xml:space="preserve">ציוד </v>
      </c>
      <c r="C40" s="40"/>
      <c r="D40" s="40" t="str">
        <f t="shared" si="11"/>
        <v xml:space="preserve">כמות תקן   </v>
      </c>
      <c r="E40" s="40" t="str">
        <f t="shared" si="11"/>
        <v xml:space="preserve">מחיר התקן ליחידה כולל מע"מ   </v>
      </c>
      <c r="F40" s="40" t="str">
        <f t="shared" si="11"/>
        <v>עלות ציוד התקן כולל מע"מ</v>
      </c>
      <c r="G40" s="40" t="str">
        <f t="shared" si="11"/>
        <v>כמות הציוד המבוקש</v>
      </c>
      <c r="H40" s="40" t="str">
        <f t="shared" si="11"/>
        <v xml:space="preserve">סך עלות הציוד המבוקש כולל מע"מ  </v>
      </c>
      <c r="I40" s="40" t="str">
        <f t="shared" si="11"/>
        <v>התראת חריגה</v>
      </c>
      <c r="J40" s="40" t="str">
        <f t="shared" si="11"/>
        <v>הערות/ הסבר חריגות</v>
      </c>
      <c r="K40" s="262" t="s">
        <v>106</v>
      </c>
      <c r="L40" s="263" t="s">
        <v>167</v>
      </c>
      <c r="M40" s="264" t="s">
        <v>168</v>
      </c>
      <c r="N40" s="264" t="s">
        <v>169</v>
      </c>
      <c r="O40" s="264" t="s">
        <v>170</v>
      </c>
      <c r="P40" s="265" t="s">
        <v>171</v>
      </c>
      <c r="Q40" s="265" t="s">
        <v>172</v>
      </c>
      <c r="R40" s="264" t="s">
        <v>30</v>
      </c>
      <c r="S40" s="264" t="s">
        <v>173</v>
      </c>
      <c r="T40" s="266" t="s">
        <v>174</v>
      </c>
      <c r="U40" s="267" t="s">
        <v>175</v>
      </c>
      <c r="V40" s="31"/>
    </row>
    <row r="41" spans="1:22" ht="27.6" x14ac:dyDescent="0.25">
      <c r="A41" s="57">
        <v>1</v>
      </c>
      <c r="B41" s="176" t="s">
        <v>272</v>
      </c>
      <c r="C41" s="176" t="s">
        <v>237</v>
      </c>
      <c r="D41" s="43">
        <f>ROUNDUP(1.3*D5,0)</f>
        <v>0</v>
      </c>
      <c r="E41" s="58">
        <v>1500</v>
      </c>
      <c r="F41" s="44">
        <f t="shared" ref="F41" si="12">D41*E41</f>
        <v>0</v>
      </c>
      <c r="G41" s="273"/>
      <c r="H41" s="274">
        <f t="shared" ref="H41" si="13">E41*G41</f>
        <v>0</v>
      </c>
      <c r="I41" s="187" t="str">
        <f t="shared" ref="I41" si="14">IF(G41&gt;D41,"נא להסביר חריגה","")</f>
        <v/>
      </c>
      <c r="J41" s="275"/>
      <c r="K41" s="276"/>
      <c r="L41" s="277"/>
      <c r="M41" s="278"/>
      <c r="N41" s="279"/>
      <c r="O41" s="280"/>
      <c r="P41" s="281"/>
      <c r="Q41" s="272">
        <f>IF(P41="",0,P41-H41)</f>
        <v>0</v>
      </c>
      <c r="R41" s="282">
        <f>IF(H41=0,0,Q41/H41)</f>
        <v>0</v>
      </c>
      <c r="S41" s="278"/>
      <c r="T41" s="266"/>
      <c r="U41" s="283"/>
      <c r="V41" s="31"/>
    </row>
    <row r="42" spans="1:22" x14ac:dyDescent="0.25">
      <c r="A42" s="49"/>
      <c r="B42" s="52"/>
      <c r="C42" s="52"/>
      <c r="D42" s="53"/>
      <c r="E42" s="53"/>
      <c r="F42" s="53"/>
      <c r="G42" s="54"/>
      <c r="H42" s="53"/>
      <c r="I42" s="54"/>
      <c r="J42" s="54"/>
      <c r="K42" s="53"/>
      <c r="L42" s="54"/>
      <c r="M42" s="55"/>
      <c r="N42" s="56"/>
      <c r="O42" s="54"/>
      <c r="P42" s="35"/>
      <c r="Q42" s="60"/>
      <c r="R42" s="31"/>
      <c r="S42" s="31"/>
      <c r="T42" s="31"/>
      <c r="U42" s="31"/>
      <c r="V42" s="31"/>
    </row>
    <row r="43" spans="1:22" s="1" customFormat="1" x14ac:dyDescent="0.25">
      <c r="A43" s="61" t="s">
        <v>35</v>
      </c>
      <c r="B43" s="62" t="str">
        <f>B10</f>
        <v xml:space="preserve"> ציוד וריהוט לחדרי קבוצות  </v>
      </c>
      <c r="C43" s="62"/>
      <c r="D43" s="63"/>
      <c r="E43" s="63"/>
      <c r="F43" s="63"/>
      <c r="G43" s="64"/>
      <c r="H43" s="64"/>
      <c r="I43" s="64"/>
      <c r="J43" s="64"/>
      <c r="K43" s="64"/>
      <c r="L43" s="64"/>
      <c r="M43" s="65"/>
      <c r="N43" s="66"/>
      <c r="O43" s="67"/>
      <c r="P43" s="68"/>
      <c r="Q43" s="67"/>
      <c r="R43" s="67"/>
      <c r="S43" s="67"/>
      <c r="T43" s="67"/>
      <c r="U43" s="67"/>
      <c r="V43" s="67"/>
    </row>
    <row r="44" spans="1:22" ht="55.2" x14ac:dyDescent="0.25">
      <c r="A44" s="39"/>
      <c r="B44" s="69" t="str">
        <f>B43</f>
        <v xml:space="preserve"> ציוד וריהוט לחדרי קבוצות  </v>
      </c>
      <c r="C44" s="69"/>
      <c r="D44" s="70"/>
      <c r="E44" s="71"/>
      <c r="F44" s="40" t="str">
        <f>F$12</f>
        <v>עלות ציוד התקן כולל מע"מ</v>
      </c>
      <c r="G44" s="40"/>
      <c r="H44" s="40" t="str">
        <f>H$12</f>
        <v xml:space="preserve">סך עלות הציוד המבוקש כולל מע"מ  </v>
      </c>
      <c r="I44" s="72"/>
      <c r="J44" s="73"/>
      <c r="K44" s="40" t="str">
        <f>K$12</f>
        <v>צפי עלות רכישה כולל מע"מ</v>
      </c>
      <c r="L44" s="72"/>
      <c r="M44" s="74"/>
      <c r="N44" s="74"/>
      <c r="O44" s="73"/>
      <c r="P44" s="51" t="str">
        <f>P$12</f>
        <v>סכום הוצאה בש"ח וכולל מע"מ</v>
      </c>
      <c r="Q44" s="72" t="str">
        <f>Q$12</f>
        <v>סכום חריגה מהתקציב - הפרש בין הסכום שנרכש בפועל לעלות שאושרה בהסכם</v>
      </c>
      <c r="R44" s="264" t="s">
        <v>30</v>
      </c>
      <c r="S44" s="74"/>
      <c r="T44" s="74"/>
      <c r="U44" s="73"/>
      <c r="V44" s="31"/>
    </row>
    <row r="45" spans="1:22" s="1" customFormat="1" x14ac:dyDescent="0.25">
      <c r="A45" s="75"/>
      <c r="B45" s="76" t="s">
        <v>114</v>
      </c>
      <c r="C45" s="76"/>
      <c r="D45" s="77"/>
      <c r="E45" s="78"/>
      <c r="F45" s="43">
        <f>F24+F31+F37+F41</f>
        <v>19100</v>
      </c>
      <c r="G45" s="79"/>
      <c r="H45" s="43">
        <f>H24+H31+H37+H41</f>
        <v>0</v>
      </c>
      <c r="I45" s="80"/>
      <c r="J45" s="81"/>
      <c r="K45" s="43">
        <f>K24+K31+K37+K41</f>
        <v>0</v>
      </c>
      <c r="L45" s="80"/>
      <c r="M45" s="82"/>
      <c r="N45" s="82"/>
      <c r="O45" s="305"/>
      <c r="P45" s="43">
        <f>P24+P31+P37+P41</f>
        <v>0</v>
      </c>
      <c r="Q45" s="43">
        <f>Q24+Q31+Q37+Q41</f>
        <v>0</v>
      </c>
      <c r="R45" s="282">
        <f>IF(H45=0,0,Q45/H45)</f>
        <v>0</v>
      </c>
      <c r="S45" s="304"/>
      <c r="T45" s="304"/>
      <c r="U45" s="83"/>
      <c r="V45" s="67"/>
    </row>
    <row r="46" spans="1:22" x14ac:dyDescent="0.25">
      <c r="A46" s="31"/>
      <c r="B46" s="7"/>
      <c r="C46" s="7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5"/>
      <c r="Q46" s="31"/>
      <c r="R46" s="31"/>
      <c r="S46" s="31"/>
      <c r="T46" s="31"/>
      <c r="U46" s="31"/>
      <c r="V46" s="31"/>
    </row>
    <row r="47" spans="1:22" x14ac:dyDescent="0.25">
      <c r="A47" s="31"/>
      <c r="B47" s="7"/>
      <c r="C47" s="7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5"/>
      <c r="Q47" s="31"/>
      <c r="R47" s="31"/>
      <c r="S47" s="31"/>
      <c r="T47" s="31"/>
      <c r="U47" s="31"/>
      <c r="V47" s="31"/>
    </row>
    <row r="48" spans="1:22" x14ac:dyDescent="0.25">
      <c r="A48" s="31"/>
      <c r="B48" s="7"/>
      <c r="C48" s="7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5"/>
      <c r="Q48" s="31"/>
      <c r="R48" s="31"/>
      <c r="S48" s="31"/>
      <c r="T48" s="31"/>
      <c r="U48" s="31"/>
      <c r="V48" s="31"/>
    </row>
    <row r="49" spans="1:22" x14ac:dyDescent="0.25">
      <c r="A49" s="31"/>
      <c r="B49" s="7"/>
      <c r="C49" s="7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5"/>
      <c r="Q49" s="31"/>
      <c r="R49" s="31"/>
      <c r="S49" s="31"/>
      <c r="T49" s="31"/>
      <c r="U49" s="31"/>
      <c r="V49" s="31"/>
    </row>
    <row r="50" spans="1:22" x14ac:dyDescent="0.25">
      <c r="A50" s="31"/>
      <c r="B50" s="7"/>
      <c r="C50" s="7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5"/>
      <c r="Q50" s="31"/>
      <c r="R50" s="31"/>
      <c r="S50" s="31"/>
      <c r="T50" s="31"/>
      <c r="U50" s="31"/>
      <c r="V50" s="31"/>
    </row>
    <row r="51" spans="1:22" x14ac:dyDescent="0.25">
      <c r="A51" s="31"/>
      <c r="B51" s="7"/>
      <c r="C51" s="7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5"/>
      <c r="Q51" s="31"/>
      <c r="R51" s="31"/>
      <c r="S51" s="31"/>
      <c r="T51" s="31"/>
      <c r="U51" s="31"/>
      <c r="V51" s="31"/>
    </row>
    <row r="52" spans="1:22" x14ac:dyDescent="0.25">
      <c r="A52" s="31"/>
      <c r="B52" s="7"/>
      <c r="C52" s="7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5"/>
      <c r="Q52" s="31"/>
      <c r="R52" s="31"/>
      <c r="S52" s="31"/>
      <c r="T52" s="31"/>
      <c r="U52" s="31"/>
      <c r="V52" s="31"/>
    </row>
    <row r="53" spans="1:22" x14ac:dyDescent="0.25">
      <c r="A53" s="31"/>
      <c r="B53" s="7"/>
      <c r="C53" s="7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5"/>
      <c r="Q53" s="31"/>
      <c r="R53" s="31"/>
      <c r="S53" s="31"/>
      <c r="T53" s="31"/>
      <c r="U53" s="31"/>
      <c r="V53" s="31"/>
    </row>
    <row r="54" spans="1:22" x14ac:dyDescent="0.25">
      <c r="A54" s="31"/>
      <c r="B54" s="7"/>
      <c r="C54" s="7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5"/>
      <c r="Q54" s="31"/>
      <c r="R54" s="31"/>
      <c r="S54" s="31"/>
      <c r="T54" s="31"/>
      <c r="U54" s="31"/>
      <c r="V54" s="31"/>
    </row>
    <row r="55" spans="1:22" x14ac:dyDescent="0.25">
      <c r="A55" s="31"/>
      <c r="B55" s="7"/>
      <c r="C55" s="7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5"/>
      <c r="Q55" s="31"/>
      <c r="R55" s="31"/>
      <c r="S55" s="31"/>
      <c r="T55" s="31"/>
      <c r="U55" s="31"/>
      <c r="V55" s="31"/>
    </row>
    <row r="56" spans="1:22" x14ac:dyDescent="0.25">
      <c r="A56" s="31"/>
      <c r="B56" s="7"/>
      <c r="C56" s="7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5"/>
      <c r="Q56" s="31"/>
      <c r="R56" s="31"/>
      <c r="S56" s="31"/>
      <c r="T56" s="31"/>
      <c r="U56" s="31"/>
      <c r="V56" s="31"/>
    </row>
    <row r="57" spans="1:22" x14ac:dyDescent="0.25">
      <c r="A57" s="31"/>
      <c r="B57" s="7"/>
      <c r="C57" s="7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5"/>
      <c r="Q57" s="31"/>
      <c r="R57" s="31"/>
      <c r="S57" s="31"/>
      <c r="T57" s="31"/>
      <c r="U57" s="31"/>
      <c r="V57" s="31"/>
    </row>
    <row r="58" spans="1:22" x14ac:dyDescent="0.25">
      <c r="A58" s="31"/>
      <c r="B58" s="7"/>
      <c r="C58" s="7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5"/>
      <c r="Q58" s="31"/>
      <c r="R58" s="31"/>
      <c r="S58" s="31"/>
      <c r="T58" s="31"/>
      <c r="U58" s="31"/>
      <c r="V58" s="31"/>
    </row>
    <row r="59" spans="1:22" x14ac:dyDescent="0.25">
      <c r="H59" s="31"/>
    </row>
    <row r="60" spans="1:22" x14ac:dyDescent="0.25">
      <c r="H60" s="31"/>
    </row>
    <row r="61" spans="1:22" x14ac:dyDescent="0.25">
      <c r="H61" s="31"/>
    </row>
    <row r="62" spans="1:22" x14ac:dyDescent="0.25">
      <c r="H62" s="31"/>
    </row>
  </sheetData>
  <sheetProtection password="CC3D" sheet="1" formatCells="0" formatColumns="0" formatRows="0"/>
  <conditionalFormatting sqref="B8:C8 I13:K23">
    <cfRule type="containsText" dxfId="92" priority="12" operator="containsText" text="נא להסביר חריגה כאן">
      <formula>NOT(ISERROR(SEARCH("נא להסביר חריגה כאן",B8)))</formula>
    </cfRule>
  </conditionalFormatting>
  <conditionalFormatting sqref="I13:I23">
    <cfRule type="cellIs" dxfId="91" priority="29" operator="equal">
      <formula>"נא להסביר חריגה"</formula>
    </cfRule>
    <cfRule type="cellIs" dxfId="90" priority="30" operator="equal">
      <formula>"נא להסביר חריגה"</formula>
    </cfRule>
  </conditionalFormatting>
  <conditionalFormatting sqref="I28:I30">
    <cfRule type="cellIs" dxfId="89" priority="26" operator="equal">
      <formula>"נא להסביר חריגה"</formula>
    </cfRule>
    <cfRule type="cellIs" dxfId="88" priority="27" operator="equal">
      <formula>"נא להסביר חריגה"</formula>
    </cfRule>
  </conditionalFormatting>
  <conditionalFormatting sqref="I35:I36">
    <cfRule type="cellIs" dxfId="87" priority="23" operator="equal">
      <formula>"נא להסביר חריגה"</formula>
    </cfRule>
    <cfRule type="cellIs" dxfId="86" priority="24" operator="equal">
      <formula>"נא להסביר חריגה"</formula>
    </cfRule>
    <cfRule type="containsText" dxfId="85" priority="25" operator="containsText" text="נא להסביר חריגה כאן">
      <formula>NOT(ISERROR(SEARCH("נא להסביר חריגה כאן",I35)))</formula>
    </cfRule>
  </conditionalFormatting>
  <conditionalFormatting sqref="I41">
    <cfRule type="cellIs" dxfId="84" priority="20" operator="equal">
      <formula>"נא להסביר חריגה"</formula>
    </cfRule>
    <cfRule type="cellIs" dxfId="83" priority="21" operator="equal">
      <formula>"נא להסביר חריגה"</formula>
    </cfRule>
  </conditionalFormatting>
  <conditionalFormatting sqref="I28:J30">
    <cfRule type="containsText" dxfId="82" priority="28" operator="containsText" text="נא להסביר חריגה כאן">
      <formula>NOT(ISERROR(SEARCH("נא להסביר חריגה כאן",I28)))</formula>
    </cfRule>
  </conditionalFormatting>
  <conditionalFormatting sqref="I41:J41">
    <cfRule type="containsText" dxfId="81" priority="22" operator="containsText" text="נא להסביר חריגה כאן">
      <formula>NOT(ISERROR(SEARCH("נא להסביר חריגה כאן",I41)))</formula>
    </cfRule>
  </conditionalFormatting>
  <conditionalFormatting sqref="J35:K36">
    <cfRule type="containsText" dxfId="80" priority="1" operator="containsText" text="נא להסביר חריגה כאן">
      <formula>NOT(ISERROR(SEARCH("נא להסביר חריגה כאן",J35)))</formula>
    </cfRule>
  </conditionalFormatting>
  <conditionalFormatting sqref="K28:K30">
    <cfRule type="containsText" dxfId="79" priority="10" operator="containsText" text="נא להסביר חריגה כאן">
      <formula>NOT(ISERROR(SEARCH("נא להסביר חריגה כאן",K28)))</formula>
    </cfRule>
  </conditionalFormatting>
  <conditionalFormatting sqref="K41">
    <cfRule type="containsText" dxfId="78" priority="6" operator="containsText" text="נא להסביר חריגה כאן">
      <formula>NOT(ISERROR(SEARCH("נא להסביר חריגה כאן",K41)))</formula>
    </cfRule>
  </conditionalFormatting>
  <conditionalFormatting sqref="Q42">
    <cfRule type="cellIs" dxfId="77" priority="61" operator="greaterThan">
      <formula>0</formula>
    </cfRule>
  </conditionalFormatting>
  <conditionalFormatting sqref="Q13:R16 Q17:Q23 R17:R24">
    <cfRule type="cellIs" dxfId="76" priority="15" operator="greaterThan">
      <formula>0</formula>
    </cfRule>
  </conditionalFormatting>
  <conditionalFormatting sqref="Q28:R30">
    <cfRule type="cellIs" dxfId="75" priority="11" operator="greaterThan">
      <formula>0</formula>
    </cfRule>
  </conditionalFormatting>
  <conditionalFormatting sqref="Q35:R36">
    <cfRule type="cellIs" dxfId="74" priority="9" operator="greaterThan">
      <formula>0</formula>
    </cfRule>
  </conditionalFormatting>
  <conditionalFormatting sqref="Q41:R41">
    <cfRule type="cellIs" dxfId="73" priority="7" operator="greaterThan">
      <formula>0</formula>
    </cfRule>
  </conditionalFormatting>
  <conditionalFormatting sqref="R31">
    <cfRule type="cellIs" dxfId="72" priority="5" operator="greaterThan">
      <formula>0</formula>
    </cfRule>
  </conditionalFormatting>
  <conditionalFormatting sqref="R37">
    <cfRule type="cellIs" dxfId="71" priority="4" operator="greaterThan">
      <formula>0</formula>
    </cfRule>
  </conditionalFormatting>
  <conditionalFormatting sqref="R45">
    <cfRule type="cellIs" dxfId="70" priority="3" operator="greaterThan">
      <formula>0</formula>
    </cfRule>
  </conditionalFormatting>
  <conditionalFormatting sqref="S45:U45">
    <cfRule type="cellIs" dxfId="69" priority="56" operator="greaterThan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8"/>
  <sheetViews>
    <sheetView rightToLeft="1" topLeftCell="A40" zoomScale="80" zoomScaleNormal="80" workbookViewId="0">
      <selection activeCell="E43" sqref="E43"/>
    </sheetView>
  </sheetViews>
  <sheetFormatPr defaultColWidth="9" defaultRowHeight="13.8" outlineLevelCol="1" x14ac:dyDescent="0.25"/>
  <cols>
    <col min="1" max="1" width="5" style="31" customWidth="1"/>
    <col min="2" max="2" width="22.6640625" style="31" customWidth="1"/>
    <col min="3" max="3" width="20.88671875" style="31" customWidth="1"/>
    <col min="4" max="4" width="11.88671875" style="31" customWidth="1"/>
    <col min="5" max="5" width="15.21875" style="31" customWidth="1"/>
    <col min="6" max="6" width="12.44140625" style="31" customWidth="1"/>
    <col min="7" max="7" width="8.88671875" style="31" customWidth="1"/>
    <col min="8" max="8" width="10.6640625" style="31" customWidth="1"/>
    <col min="9" max="9" width="13.21875" style="31" customWidth="1"/>
    <col min="10" max="10" width="26.6640625" style="31" customWidth="1"/>
    <col min="11" max="11" width="10.21875" style="31" hidden="1" customWidth="1" outlineLevel="1"/>
    <col min="12" max="12" width="11.6640625" style="31" hidden="1" customWidth="1" outlineLevel="1"/>
    <col min="13" max="13" width="10.109375" style="31" hidden="1" customWidth="1" outlineLevel="1"/>
    <col min="14" max="14" width="10.44140625" style="31" hidden="1" customWidth="1" outlineLevel="1"/>
    <col min="15" max="15" width="13.21875" style="31" hidden="1" customWidth="1" outlineLevel="1"/>
    <col min="16" max="16" width="15.109375" style="84" hidden="1" customWidth="1" outlineLevel="1"/>
    <col min="17" max="17" width="14.21875" style="31" hidden="1" customWidth="1" outlineLevel="1"/>
    <col min="18" max="18" width="8.44140625" style="31" hidden="1" customWidth="1" outlineLevel="1"/>
    <col min="19" max="21" width="0" style="31" hidden="1" customWidth="1" outlineLevel="1"/>
    <col min="22" max="22" width="9" style="31" collapsed="1"/>
    <col min="23" max="16384" width="9" style="31"/>
  </cols>
  <sheetData>
    <row r="1" spans="1:21" x14ac:dyDescent="0.25">
      <c r="A1" s="13"/>
      <c r="B1" s="2" t="str">
        <f>'שאלון למילוי הבקשה - חובה'!B1</f>
        <v>תקן ציוד כללי בסיסי למרכזי פעילות יומית לאנשים עם מוגבלות- מרחבים: גירסת- 1.9.2026</v>
      </c>
      <c r="C1" s="6"/>
      <c r="D1" s="13"/>
    </row>
    <row r="2" spans="1:21" ht="15" customHeight="1" x14ac:dyDescent="0.3">
      <c r="A2" s="34"/>
      <c r="B2" s="7" t="str">
        <f>'שאלון למילוי הבקשה - חובה'!$C$7</f>
        <v>שם הגוף המבקש:</v>
      </c>
      <c r="C2" s="7"/>
      <c r="D2" s="340">
        <f>'שאלון למילוי הבקשה - חובה'!$D$7</f>
        <v>0</v>
      </c>
      <c r="E2" s="7"/>
      <c r="F2" s="7"/>
      <c r="G2" s="7"/>
    </row>
    <row r="3" spans="1:21" ht="15" customHeight="1" x14ac:dyDescent="0.3">
      <c r="A3" s="34"/>
      <c r="B3" s="7" t="str">
        <f>'שאלון למילוי הבקשה - חובה'!$C$18</f>
        <v>שם המסגרת:</v>
      </c>
      <c r="C3" s="7"/>
      <c r="D3" s="340">
        <f>'שאלון למילוי הבקשה - חובה'!$D$18</f>
        <v>0</v>
      </c>
      <c r="E3" s="7"/>
      <c r="F3" s="7"/>
      <c r="G3" s="7"/>
    </row>
    <row r="4" spans="1:21" ht="15" customHeight="1" x14ac:dyDescent="0.25">
      <c r="A4" s="34"/>
      <c r="B4" s="7" t="str">
        <f>'שאלון למילוי הבקשה - חובה'!$C$33</f>
        <v>מספר האנשים שעבורם מיועד הפרויקט (בין 20 ל-25):</v>
      </c>
      <c r="C4" s="7"/>
      <c r="D4" s="7">
        <f>'שאלון למילוי הבקשה - חובה'!$D$33</f>
        <v>0</v>
      </c>
      <c r="E4" s="117" t="str">
        <f>IF(D4&lt;20,"מספר האנשים בין 20 ל 25",IF(D4&gt;25,"מספר האנשים בין 20 ל 25",""))</f>
        <v>מספר האנשים בין 20 ל 25</v>
      </c>
      <c r="F4" s="7"/>
      <c r="G4" s="7"/>
    </row>
    <row r="5" spans="1:21" ht="15" customHeight="1" x14ac:dyDescent="0.25">
      <c r="A5" s="34"/>
      <c r="B5" s="7" t="str">
        <f>'שאלון למילוי הבקשה - חובה'!$C$35</f>
        <v>מספר חדרי קבוצות כולל חדרי פעילות וסדנאות:</v>
      </c>
      <c r="C5" s="7"/>
      <c r="D5" s="7">
        <f>'שאלון למילוי הבקשה - חובה'!$D$35</f>
        <v>0</v>
      </c>
      <c r="E5" s="7"/>
      <c r="F5" s="7"/>
      <c r="G5" s="7"/>
    </row>
    <row r="6" spans="1:21" ht="15" customHeight="1" x14ac:dyDescent="0.25">
      <c r="A6" s="34"/>
      <c r="B6" s="34" t="s">
        <v>223</v>
      </c>
      <c r="C6" s="34"/>
      <c r="D6" s="11"/>
    </row>
    <row r="7" spans="1:21" x14ac:dyDescent="0.25">
      <c r="A7" s="34"/>
      <c r="B7" s="7" t="str">
        <f>'ציוד לחדרי קבוצות'!B7</f>
        <v>כמויות התקן משתנות בהתאם  למספר האנשים במסגרת ומספר חדרי קבוצות.</v>
      </c>
      <c r="C7" s="7"/>
    </row>
    <row r="8" spans="1:21" x14ac:dyDescent="0.25">
      <c r="B8" s="303" t="str">
        <f>'ציוד לחדרי קבוצות'!B8</f>
        <v>מבקש  הציוד  מתבקש למלא  רק  את  התאים  הממורקרים בצהוב.</v>
      </c>
      <c r="C8" s="303"/>
    </row>
    <row r="9" spans="1:21" x14ac:dyDescent="0.25">
      <c r="B9" s="7" t="str">
        <f>'ציוד לחדרי קבוצות'!B9</f>
        <v xml:space="preserve">כל  המחירים והעלויות להלן  נקובים  בש"ח  וכוללים  מע"מ  </v>
      </c>
      <c r="C9" s="7"/>
    </row>
    <row r="10" spans="1:21" s="67" customFormat="1" ht="15" customHeight="1" x14ac:dyDescent="0.25">
      <c r="A10" s="31">
        <v>2</v>
      </c>
      <c r="B10" s="11" t="s">
        <v>225</v>
      </c>
      <c r="C10" s="11"/>
      <c r="D10" s="11"/>
      <c r="E10" s="11"/>
      <c r="F10" s="11"/>
      <c r="G10" s="11"/>
      <c r="H10" s="11"/>
      <c r="J10" s="11"/>
      <c r="K10" s="11"/>
      <c r="L10" s="11"/>
      <c r="M10" s="11"/>
      <c r="N10" s="11"/>
      <c r="O10" s="11"/>
      <c r="P10" s="68"/>
      <c r="R10" s="31"/>
    </row>
    <row r="11" spans="1:21" x14ac:dyDescent="0.25">
      <c r="A11" s="59">
        <v>2.1</v>
      </c>
      <c r="B11" s="36" t="s">
        <v>118</v>
      </c>
      <c r="C11" s="159"/>
      <c r="D11" s="37"/>
      <c r="E11" s="37"/>
      <c r="F11" s="38"/>
      <c r="G11" s="39" t="s">
        <v>119</v>
      </c>
      <c r="H11" s="37"/>
      <c r="I11" s="37"/>
      <c r="J11" s="38"/>
      <c r="K11" s="257" t="s">
        <v>165</v>
      </c>
      <c r="L11" s="258"/>
      <c r="M11" s="258" t="s">
        <v>166</v>
      </c>
      <c r="N11" s="258"/>
      <c r="O11" s="258"/>
      <c r="P11" s="258"/>
      <c r="Q11" s="258"/>
      <c r="R11" s="258"/>
      <c r="S11" s="258"/>
      <c r="T11" s="258"/>
      <c r="U11" s="259"/>
    </row>
    <row r="12" spans="1:21" ht="41.25" customHeight="1" x14ac:dyDescent="0.25">
      <c r="A12" s="85" t="s">
        <v>116</v>
      </c>
      <c r="B12" s="40" t="s">
        <v>26</v>
      </c>
      <c r="C12" s="40"/>
      <c r="D12" s="40" t="s">
        <v>36</v>
      </c>
      <c r="E12" s="40" t="s">
        <v>37</v>
      </c>
      <c r="F12" s="40" t="s">
        <v>38</v>
      </c>
      <c r="G12" s="40" t="s">
        <v>28</v>
      </c>
      <c r="H12" s="40" t="s">
        <v>39</v>
      </c>
      <c r="I12" s="40" t="s">
        <v>29</v>
      </c>
      <c r="J12" s="40" t="s">
        <v>105</v>
      </c>
      <c r="K12" s="262" t="s">
        <v>106</v>
      </c>
      <c r="L12" s="263" t="s">
        <v>167</v>
      </c>
      <c r="M12" s="264" t="s">
        <v>168</v>
      </c>
      <c r="N12" s="264" t="s">
        <v>169</v>
      </c>
      <c r="O12" s="264" t="s">
        <v>170</v>
      </c>
      <c r="P12" s="265" t="s">
        <v>171</v>
      </c>
      <c r="Q12" s="265" t="s">
        <v>172</v>
      </c>
      <c r="R12" s="264" t="s">
        <v>30</v>
      </c>
      <c r="S12" s="264" t="s">
        <v>173</v>
      </c>
      <c r="T12" s="266" t="s">
        <v>174</v>
      </c>
      <c r="U12" s="267" t="s">
        <v>175</v>
      </c>
    </row>
    <row r="13" spans="1:21" x14ac:dyDescent="0.25">
      <c r="A13" s="42">
        <v>1</v>
      </c>
      <c r="B13" s="40" t="s">
        <v>226</v>
      </c>
      <c r="C13" s="47"/>
      <c r="D13" s="43">
        <f>IF('שאלון למילוי הבקשה - חובה'!$D$33&lt;31,1,IF('שאלון למילוי הבקשה - חובה'!$D$33&lt;61,2,3))</f>
        <v>1</v>
      </c>
      <c r="E13" s="44">
        <v>12000</v>
      </c>
      <c r="F13" s="44">
        <f>D13*E13</f>
        <v>12000</v>
      </c>
      <c r="G13" s="273"/>
      <c r="H13" s="274">
        <f>E13*G13</f>
        <v>0</v>
      </c>
      <c r="I13" s="187" t="str">
        <f>IF(G13&gt;D13,"נא להסביר חריגה","")</f>
        <v/>
      </c>
      <c r="J13" s="275"/>
      <c r="K13" s="276"/>
      <c r="L13" s="277"/>
      <c r="M13" s="278"/>
      <c r="N13" s="279"/>
      <c r="O13" s="280"/>
      <c r="P13" s="281"/>
      <c r="Q13" s="272">
        <f>IF(P13="",0,P13-H13)</f>
        <v>0</v>
      </c>
      <c r="R13" s="282">
        <f>IF(H13=0,0,Q13/H13)</f>
        <v>0</v>
      </c>
      <c r="S13" s="278"/>
      <c r="T13" s="266"/>
      <c r="U13" s="283"/>
    </row>
    <row r="14" spans="1:21" x14ac:dyDescent="0.25">
      <c r="A14" s="42">
        <v>2</v>
      </c>
      <c r="B14" s="261" t="s">
        <v>227</v>
      </c>
      <c r="C14" s="47"/>
      <c r="D14" s="43">
        <f>IF('שאלון למילוי הבקשה - חובה'!$D$33&lt;31,3,IF('שאלון למילוי הבקשה - חובה'!$D$33&lt;61,6,8))</f>
        <v>3</v>
      </c>
      <c r="E14" s="44">
        <v>1500</v>
      </c>
      <c r="F14" s="44">
        <f>D14*E14</f>
        <v>4500</v>
      </c>
      <c r="G14" s="273"/>
      <c r="H14" s="274">
        <f>E14*G14</f>
        <v>0</v>
      </c>
      <c r="I14" s="187" t="str">
        <f>IF(G14&gt;D14,"נא להסביר חריגה","")</f>
        <v/>
      </c>
      <c r="J14" s="275"/>
      <c r="K14" s="276"/>
      <c r="L14" s="277"/>
      <c r="M14" s="278"/>
      <c r="N14" s="279"/>
      <c r="O14" s="280"/>
      <c r="P14" s="281"/>
      <c r="Q14" s="272">
        <f t="shared" ref="Q14:Q15" si="0">IF(P14="",0,P14-H14)</f>
        <v>0</v>
      </c>
      <c r="R14" s="282">
        <f t="shared" ref="R14:R16" si="1">IF(H14=0,0,Q14/H14)</f>
        <v>0</v>
      </c>
      <c r="S14" s="278"/>
      <c r="T14" s="266"/>
      <c r="U14" s="283"/>
    </row>
    <row r="15" spans="1:21" x14ac:dyDescent="0.25">
      <c r="A15" s="42">
        <v>3</v>
      </c>
      <c r="B15" s="299" t="s">
        <v>228</v>
      </c>
      <c r="C15" s="47"/>
      <c r="D15" s="44">
        <v>1</v>
      </c>
      <c r="E15" s="43">
        <f>IF('שאלון למילוי הבקשה - חובה'!$D$33&lt;31,25000,IF('שאלון למילוי הבקשה - חובה'!$D$33&lt;61,30000,40000))</f>
        <v>25000</v>
      </c>
      <c r="F15" s="44">
        <f>D15*E15</f>
        <v>25000</v>
      </c>
      <c r="G15" s="273"/>
      <c r="H15" s="274">
        <f>E15*G15</f>
        <v>0</v>
      </c>
      <c r="I15" s="187" t="str">
        <f>IF(G15&gt;D15,"נא להסביר חריגה","")</f>
        <v/>
      </c>
      <c r="J15" s="275"/>
      <c r="K15" s="276"/>
      <c r="L15" s="277"/>
      <c r="M15" s="278"/>
      <c r="N15" s="279"/>
      <c r="O15" s="280"/>
      <c r="P15" s="281"/>
      <c r="Q15" s="272">
        <f t="shared" si="0"/>
        <v>0</v>
      </c>
      <c r="R15" s="282">
        <f t="shared" si="1"/>
        <v>0</v>
      </c>
      <c r="S15" s="278"/>
      <c r="T15" s="266"/>
      <c r="U15" s="283"/>
    </row>
    <row r="16" spans="1:21" s="67" customFormat="1" x14ac:dyDescent="0.25">
      <c r="A16" s="121"/>
      <c r="B16" s="300" t="s">
        <v>41</v>
      </c>
      <c r="C16" s="300"/>
      <c r="D16" s="43"/>
      <c r="E16" s="43"/>
      <c r="F16" s="43">
        <f>SUM(F13:F15)</f>
        <v>41500</v>
      </c>
      <c r="G16" s="122"/>
      <c r="H16" s="122">
        <f>SUM(H13:H15)</f>
        <v>0</v>
      </c>
      <c r="I16" s="122"/>
      <c r="J16" s="122"/>
      <c r="K16" s="122">
        <f>SUM(K13:K15)</f>
        <v>0</v>
      </c>
      <c r="L16" s="208"/>
      <c r="M16" s="209"/>
      <c r="N16" s="210"/>
      <c r="O16" s="211"/>
      <c r="P16" s="122">
        <f t="shared" ref="P16:Q16" si="2">SUM(P13:P15)</f>
        <v>0</v>
      </c>
      <c r="Q16" s="122">
        <f t="shared" si="2"/>
        <v>0</v>
      </c>
      <c r="R16" s="282">
        <f t="shared" si="1"/>
        <v>0</v>
      </c>
      <c r="S16" s="214"/>
      <c r="T16" s="215"/>
      <c r="U16" s="216"/>
    </row>
    <row r="17" spans="1:21" x14ac:dyDescent="0.25">
      <c r="A17" s="49"/>
      <c r="B17" s="52"/>
      <c r="C17" s="5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8"/>
    </row>
    <row r="18" spans="1:21" x14ac:dyDescent="0.25">
      <c r="A18" s="59">
        <v>2.2000000000000002</v>
      </c>
      <c r="B18" s="36" t="s">
        <v>120</v>
      </c>
      <c r="C18" s="159"/>
      <c r="D18" s="37"/>
      <c r="E18" s="37"/>
      <c r="F18" s="38"/>
      <c r="G18" s="39" t="s">
        <v>121</v>
      </c>
      <c r="H18" s="37"/>
      <c r="I18" s="37"/>
      <c r="J18" s="38"/>
      <c r="K18" s="257" t="s">
        <v>165</v>
      </c>
      <c r="L18" s="258"/>
      <c r="M18" s="258" t="s">
        <v>166</v>
      </c>
      <c r="N18" s="258"/>
      <c r="O18" s="258"/>
      <c r="P18" s="258"/>
      <c r="Q18" s="258"/>
      <c r="R18" s="258"/>
      <c r="S18" s="258"/>
      <c r="T18" s="258"/>
      <c r="U18" s="259"/>
    </row>
    <row r="19" spans="1:21" ht="41.25" customHeight="1" x14ac:dyDescent="0.25">
      <c r="A19" s="85" t="s">
        <v>116</v>
      </c>
      <c r="B19" s="40" t="s">
        <v>26</v>
      </c>
      <c r="C19" s="40"/>
      <c r="D19" s="40" t="s">
        <v>36</v>
      </c>
      <c r="E19" s="40" t="s">
        <v>37</v>
      </c>
      <c r="F19" s="40" t="s">
        <v>38</v>
      </c>
      <c r="G19" s="40" t="s">
        <v>28</v>
      </c>
      <c r="H19" s="40" t="s">
        <v>39</v>
      </c>
      <c r="I19" s="40" t="s">
        <v>29</v>
      </c>
      <c r="J19" s="40" t="s">
        <v>105</v>
      </c>
      <c r="K19" s="262" t="s">
        <v>106</v>
      </c>
      <c r="L19" s="263" t="s">
        <v>167</v>
      </c>
      <c r="M19" s="264" t="s">
        <v>168</v>
      </c>
      <c r="N19" s="264" t="s">
        <v>169</v>
      </c>
      <c r="O19" s="264" t="s">
        <v>170</v>
      </c>
      <c r="P19" s="265" t="s">
        <v>171</v>
      </c>
      <c r="Q19" s="265" t="s">
        <v>172</v>
      </c>
      <c r="R19" s="264" t="s">
        <v>30</v>
      </c>
      <c r="S19" s="264" t="s">
        <v>173</v>
      </c>
      <c r="T19" s="266" t="s">
        <v>174</v>
      </c>
      <c r="U19" s="267" t="s">
        <v>175</v>
      </c>
    </row>
    <row r="20" spans="1:21" x14ac:dyDescent="0.25">
      <c r="A20" s="42">
        <v>1</v>
      </c>
      <c r="B20" s="47" t="s">
        <v>259</v>
      </c>
      <c r="C20" s="47"/>
      <c r="D20" s="44">
        <v>1</v>
      </c>
      <c r="E20" s="43">
        <f>IF('שאלון למילוי הבקשה - חובה'!$D$33&lt;31,25000,IF('שאלון למילוי הבקשה - חובה'!$D$33&lt;61,50000,70000))</f>
        <v>25000</v>
      </c>
      <c r="F20" s="44">
        <f>D20*E20</f>
        <v>25000</v>
      </c>
      <c r="G20" s="273"/>
      <c r="H20" s="274">
        <f>E20*G20</f>
        <v>0</v>
      </c>
      <c r="I20" s="187" t="str">
        <f>IF(G20&gt;D20,"נא להסביר חריגה","")</f>
        <v/>
      </c>
      <c r="J20" s="275"/>
      <c r="K20" s="276"/>
      <c r="L20" s="277"/>
      <c r="M20" s="278"/>
      <c r="N20" s="279"/>
      <c r="O20" s="280"/>
      <c r="P20" s="281"/>
      <c r="Q20" s="272">
        <f>IF(P20="",0,P20-H20)</f>
        <v>0</v>
      </c>
      <c r="R20" s="282">
        <f>IF(H20=0,0,Q20/H20)</f>
        <v>0</v>
      </c>
      <c r="S20" s="278"/>
      <c r="T20" s="266"/>
      <c r="U20" s="283"/>
    </row>
    <row r="21" spans="1:21" x14ac:dyDescent="0.25">
      <c r="A21" s="49"/>
      <c r="B21" s="52"/>
      <c r="C21" s="5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21" x14ac:dyDescent="0.25">
      <c r="A22" s="59">
        <v>2.2999999999999998</v>
      </c>
      <c r="B22" s="36" t="s">
        <v>122</v>
      </c>
      <c r="C22" s="159"/>
      <c r="D22" s="37"/>
      <c r="E22" s="37"/>
      <c r="F22" s="38"/>
      <c r="G22" s="39" t="s">
        <v>123</v>
      </c>
      <c r="H22" s="37"/>
      <c r="I22" s="37"/>
      <c r="J22" s="38"/>
      <c r="K22" s="257" t="s">
        <v>165</v>
      </c>
      <c r="L22" s="258"/>
      <c r="M22" s="258" t="s">
        <v>166</v>
      </c>
      <c r="N22" s="258"/>
      <c r="O22" s="258"/>
      <c r="P22" s="258"/>
      <c r="Q22" s="258"/>
      <c r="R22" s="258"/>
      <c r="S22" s="258"/>
      <c r="T22" s="258"/>
      <c r="U22" s="259"/>
    </row>
    <row r="23" spans="1:21" ht="41.25" customHeight="1" x14ac:dyDescent="0.25">
      <c r="A23" s="85" t="s">
        <v>116</v>
      </c>
      <c r="B23" s="40" t="s">
        <v>26</v>
      </c>
      <c r="C23" s="40"/>
      <c r="D23" s="40" t="s">
        <v>36</v>
      </c>
      <c r="E23" s="40" t="s">
        <v>37</v>
      </c>
      <c r="F23" s="40" t="s">
        <v>38</v>
      </c>
      <c r="G23" s="40" t="s">
        <v>28</v>
      </c>
      <c r="H23" s="40" t="s">
        <v>39</v>
      </c>
      <c r="I23" s="40" t="s">
        <v>29</v>
      </c>
      <c r="J23" s="40" t="s">
        <v>105</v>
      </c>
      <c r="K23" s="262" t="s">
        <v>106</v>
      </c>
      <c r="L23" s="263" t="s">
        <v>167</v>
      </c>
      <c r="M23" s="264" t="s">
        <v>168</v>
      </c>
      <c r="N23" s="264" t="s">
        <v>169</v>
      </c>
      <c r="O23" s="264" t="s">
        <v>170</v>
      </c>
      <c r="P23" s="265" t="s">
        <v>171</v>
      </c>
      <c r="Q23" s="265" t="s">
        <v>172</v>
      </c>
      <c r="R23" s="264" t="s">
        <v>30</v>
      </c>
      <c r="S23" s="264" t="s">
        <v>173</v>
      </c>
      <c r="T23" s="266" t="s">
        <v>174</v>
      </c>
      <c r="U23" s="267" t="s">
        <v>175</v>
      </c>
    </row>
    <row r="24" spans="1:21" x14ac:dyDescent="0.25">
      <c r="A24" s="42">
        <v>1</v>
      </c>
      <c r="B24" s="261" t="s">
        <v>229</v>
      </c>
      <c r="C24" s="40"/>
      <c r="D24" s="44">
        <v>1</v>
      </c>
      <c r="E24" s="43">
        <f>IF('שאלון למילוי הבקשה - חובה'!$D$33&lt;31,8000,IF('שאלון למילוי הבקשה - חובה'!$D$33&lt;61,12000,15000))</f>
        <v>8000</v>
      </c>
      <c r="F24" s="44">
        <f>D24*E24</f>
        <v>8000</v>
      </c>
      <c r="G24" s="273"/>
      <c r="H24" s="274">
        <f>E24*G24</f>
        <v>0</v>
      </c>
      <c r="I24" s="187" t="str">
        <f>IF(G24&gt;D24,"נא להסביר חריגה","")</f>
        <v/>
      </c>
      <c r="J24" s="275"/>
      <c r="K24" s="276"/>
      <c r="L24" s="277"/>
      <c r="M24" s="278"/>
      <c r="N24" s="279"/>
      <c r="O24" s="280"/>
      <c r="P24" s="281"/>
      <c r="Q24" s="272">
        <f>IF(P24="",0,P24-H24)</f>
        <v>0</v>
      </c>
      <c r="R24" s="282">
        <f>IF(H24=0,0,Q24/H24)</f>
        <v>0</v>
      </c>
      <c r="S24" s="278"/>
      <c r="T24" s="266"/>
      <c r="U24" s="283"/>
    </row>
    <row r="25" spans="1:21" x14ac:dyDescent="0.25">
      <c r="A25" s="42">
        <v>2</v>
      </c>
      <c r="B25" s="47" t="s">
        <v>230</v>
      </c>
      <c r="C25" s="47"/>
      <c r="D25" s="43">
        <f>IF('שאלון למילוי הבקשה - חובה'!$D$33&lt;31,1,IF('שאלון למילוי הבקשה - חובה'!$D$33&lt;61,2,3))</f>
        <v>1</v>
      </c>
      <c r="E25" s="44">
        <v>5000</v>
      </c>
      <c r="F25" s="44">
        <f>D25*E25</f>
        <v>5000</v>
      </c>
      <c r="G25" s="273"/>
      <c r="H25" s="274">
        <f>E25*G25</f>
        <v>0</v>
      </c>
      <c r="I25" s="187" t="str">
        <f>IF(G25&gt;D25,"נא להסביר חריגה","")</f>
        <v/>
      </c>
      <c r="J25" s="275"/>
      <c r="K25" s="276"/>
      <c r="L25" s="277"/>
      <c r="M25" s="278"/>
      <c r="N25" s="279"/>
      <c r="O25" s="280"/>
      <c r="P25" s="281"/>
      <c r="Q25" s="272">
        <f>IF(P25="",0,P25-H25)</f>
        <v>0</v>
      </c>
      <c r="R25" s="282">
        <f>IF(H25=0,0,Q25/H25)</f>
        <v>0</v>
      </c>
      <c r="S25" s="278"/>
      <c r="T25" s="266"/>
      <c r="U25" s="283"/>
    </row>
    <row r="26" spans="1:21" x14ac:dyDescent="0.25">
      <c r="A26" s="42">
        <v>3</v>
      </c>
      <c r="B26" s="261" t="s">
        <v>231</v>
      </c>
      <c r="C26" s="40"/>
      <c r="D26" s="44">
        <v>1</v>
      </c>
      <c r="E26" s="43">
        <f>IF('שאלון למילוי הבקשה - חובה'!$D$33&lt;31,7000,IF('שאלון למילוי הבקשה - חובה'!$D$33&lt;61,10000,15000))</f>
        <v>7000</v>
      </c>
      <c r="F26" s="44">
        <f>D26*E26</f>
        <v>7000</v>
      </c>
      <c r="G26" s="273"/>
      <c r="H26" s="274">
        <f>E26*G26</f>
        <v>0</v>
      </c>
      <c r="I26" s="187" t="str">
        <f>IF(G26&gt;D26,"נא להסביר חריגה","")</f>
        <v/>
      </c>
      <c r="J26" s="275"/>
      <c r="K26" s="276"/>
      <c r="L26" s="277"/>
      <c r="M26" s="278"/>
      <c r="N26" s="279"/>
      <c r="O26" s="280"/>
      <c r="P26" s="281"/>
      <c r="Q26" s="272">
        <f>IF(P26="",0,P26-H26)</f>
        <v>0</v>
      </c>
      <c r="R26" s="282">
        <f>IF(H26=0,0,Q26/H26)</f>
        <v>0</v>
      </c>
      <c r="S26" s="278"/>
      <c r="T26" s="266"/>
      <c r="U26" s="283"/>
    </row>
    <row r="27" spans="1:21" s="67" customFormat="1" x14ac:dyDescent="0.25">
      <c r="A27" s="121"/>
      <c r="B27" s="300" t="s">
        <v>42</v>
      </c>
      <c r="C27" s="300"/>
      <c r="D27" s="43"/>
      <c r="E27" s="43"/>
      <c r="F27" s="43">
        <f>SUM(F24:F26)</f>
        <v>20000</v>
      </c>
      <c r="G27" s="122"/>
      <c r="H27" s="122">
        <f>SUM(H24:H26)</f>
        <v>0</v>
      </c>
      <c r="I27" s="122"/>
      <c r="J27" s="122"/>
      <c r="K27" s="122">
        <f>SUM(K24:K26)</f>
        <v>0</v>
      </c>
      <c r="L27" s="208"/>
      <c r="M27" s="209"/>
      <c r="N27" s="210"/>
      <c r="O27" s="211"/>
      <c r="P27" s="122">
        <f t="shared" ref="P27:Q27" si="3">SUM(P24:P26)</f>
        <v>0</v>
      </c>
      <c r="Q27" s="122">
        <f t="shared" si="3"/>
        <v>0</v>
      </c>
      <c r="R27" s="282">
        <f t="shared" ref="R27" si="4">IF(H27=0,0,Q27/H27)</f>
        <v>0</v>
      </c>
      <c r="S27" s="214"/>
      <c r="T27" s="215"/>
      <c r="U27" s="216"/>
    </row>
    <row r="28" spans="1:21" x14ac:dyDescent="0.25">
      <c r="A28" s="49"/>
      <c r="B28" s="52"/>
      <c r="C28" s="52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21" x14ac:dyDescent="0.25">
      <c r="A29" s="59">
        <v>2.4</v>
      </c>
      <c r="B29" s="36" t="s">
        <v>124</v>
      </c>
      <c r="C29" s="159"/>
      <c r="D29" s="37"/>
      <c r="E29" s="37"/>
      <c r="F29" s="38"/>
      <c r="G29" s="39" t="s">
        <v>125</v>
      </c>
      <c r="H29" s="37"/>
      <c r="I29" s="37"/>
      <c r="J29" s="38"/>
      <c r="K29" s="257" t="s">
        <v>165</v>
      </c>
      <c r="L29" s="258"/>
      <c r="M29" s="258" t="s">
        <v>166</v>
      </c>
      <c r="N29" s="258"/>
      <c r="O29" s="258"/>
      <c r="P29" s="258"/>
      <c r="Q29" s="258"/>
      <c r="R29" s="258"/>
      <c r="S29" s="258"/>
      <c r="T29" s="258"/>
      <c r="U29" s="259"/>
    </row>
    <row r="30" spans="1:21" ht="41.25" customHeight="1" x14ac:dyDescent="0.25">
      <c r="A30" s="85" t="s">
        <v>116</v>
      </c>
      <c r="B30" s="40" t="s">
        <v>26</v>
      </c>
      <c r="C30" s="40"/>
      <c r="D30" s="40" t="s">
        <v>36</v>
      </c>
      <c r="E30" s="40" t="s">
        <v>37</v>
      </c>
      <c r="F30" s="40" t="s">
        <v>38</v>
      </c>
      <c r="G30" s="40" t="s">
        <v>28</v>
      </c>
      <c r="H30" s="40" t="s">
        <v>39</v>
      </c>
      <c r="I30" s="40" t="s">
        <v>29</v>
      </c>
      <c r="J30" s="40" t="s">
        <v>105</v>
      </c>
      <c r="K30" s="262" t="s">
        <v>106</v>
      </c>
      <c r="L30" s="263" t="s">
        <v>167</v>
      </c>
      <c r="M30" s="264" t="s">
        <v>168</v>
      </c>
      <c r="N30" s="264" t="s">
        <v>169</v>
      </c>
      <c r="O30" s="264" t="s">
        <v>170</v>
      </c>
      <c r="P30" s="265" t="s">
        <v>171</v>
      </c>
      <c r="Q30" s="265" t="s">
        <v>172</v>
      </c>
      <c r="R30" s="264" t="s">
        <v>30</v>
      </c>
      <c r="S30" s="264" t="s">
        <v>173</v>
      </c>
      <c r="T30" s="266" t="s">
        <v>174</v>
      </c>
      <c r="U30" s="267" t="s">
        <v>175</v>
      </c>
    </row>
    <row r="31" spans="1:21" x14ac:dyDescent="0.25">
      <c r="A31" s="42">
        <v>1</v>
      </c>
      <c r="B31" s="47" t="s">
        <v>232</v>
      </c>
      <c r="C31" s="47"/>
      <c r="D31" s="44">
        <v>1</v>
      </c>
      <c r="E31" s="43">
        <f>IF('שאלון למילוי הבקשה - חובה'!$D$33&lt;31,18000,IF('שאלון למילוי הבקשה - חובה'!$D$33&lt;61,22000,30000))</f>
        <v>18000</v>
      </c>
      <c r="F31" s="44">
        <f t="shared" ref="F31:F38" si="5">D31*E31</f>
        <v>18000</v>
      </c>
      <c r="G31" s="273"/>
      <c r="H31" s="274">
        <f t="shared" ref="H31:H38" si="6">E31*G31</f>
        <v>0</v>
      </c>
      <c r="I31" s="187" t="str">
        <f t="shared" ref="I31:I38" si="7">IF(G31&gt;D31,"נא להסביר חריגה","")</f>
        <v/>
      </c>
      <c r="J31" s="275"/>
      <c r="K31" s="276"/>
      <c r="L31" s="277"/>
      <c r="M31" s="278"/>
      <c r="N31" s="279"/>
      <c r="O31" s="280"/>
      <c r="P31" s="281"/>
      <c r="Q31" s="272">
        <f>IF(P31="",0,P31-H31)</f>
        <v>0</v>
      </c>
      <c r="R31" s="282">
        <f>IF(H31=0,0,Q31/H31)</f>
        <v>0</v>
      </c>
      <c r="S31" s="278"/>
      <c r="T31" s="266"/>
      <c r="U31" s="283"/>
    </row>
    <row r="32" spans="1:21" x14ac:dyDescent="0.25">
      <c r="A32" s="42">
        <v>2</v>
      </c>
      <c r="B32" s="261" t="s">
        <v>43</v>
      </c>
      <c r="C32" s="261"/>
      <c r="D32" s="44">
        <v>1</v>
      </c>
      <c r="E32" s="44">
        <v>5000</v>
      </c>
      <c r="F32" s="44">
        <f t="shared" si="5"/>
        <v>5000</v>
      </c>
      <c r="G32" s="273"/>
      <c r="H32" s="274">
        <f t="shared" si="6"/>
        <v>0</v>
      </c>
      <c r="I32" s="187" t="str">
        <f t="shared" si="7"/>
        <v/>
      </c>
      <c r="J32" s="275"/>
      <c r="K32" s="276"/>
      <c r="L32" s="277"/>
      <c r="M32" s="278"/>
      <c r="N32" s="279"/>
      <c r="O32" s="280"/>
      <c r="P32" s="281"/>
      <c r="Q32" s="272">
        <f t="shared" ref="Q32:Q38" si="8">IF(P32="",0,P32-H32)</f>
        <v>0</v>
      </c>
      <c r="R32" s="282">
        <f t="shared" ref="R32:R39" si="9">IF(H32=0,0,Q32/H32)</f>
        <v>0</v>
      </c>
      <c r="S32" s="278"/>
      <c r="T32" s="266"/>
      <c r="U32" s="283"/>
    </row>
    <row r="33" spans="1:21" x14ac:dyDescent="0.25">
      <c r="A33" s="42">
        <v>3</v>
      </c>
      <c r="B33" s="261" t="s">
        <v>233</v>
      </c>
      <c r="C33" s="261"/>
      <c r="D33" s="44">
        <v>1</v>
      </c>
      <c r="E33" s="44">
        <v>5000</v>
      </c>
      <c r="F33" s="44">
        <f t="shared" si="5"/>
        <v>5000</v>
      </c>
      <c r="G33" s="273"/>
      <c r="H33" s="274">
        <f t="shared" si="6"/>
        <v>0</v>
      </c>
      <c r="I33" s="187" t="str">
        <f t="shared" si="7"/>
        <v/>
      </c>
      <c r="J33" s="275"/>
      <c r="K33" s="276"/>
      <c r="L33" s="277"/>
      <c r="M33" s="278"/>
      <c r="N33" s="279"/>
      <c r="O33" s="280"/>
      <c r="P33" s="281"/>
      <c r="Q33" s="272">
        <f t="shared" si="8"/>
        <v>0</v>
      </c>
      <c r="R33" s="282">
        <f t="shared" si="9"/>
        <v>0</v>
      </c>
      <c r="S33" s="278"/>
      <c r="T33" s="266"/>
      <c r="U33" s="283"/>
    </row>
    <row r="34" spans="1:21" x14ac:dyDescent="0.25">
      <c r="A34" s="42">
        <v>4</v>
      </c>
      <c r="B34" s="261" t="s">
        <v>234</v>
      </c>
      <c r="C34" s="261"/>
      <c r="D34" s="44">
        <v>1</v>
      </c>
      <c r="E34" s="44">
        <v>5000</v>
      </c>
      <c r="F34" s="44">
        <f t="shared" si="5"/>
        <v>5000</v>
      </c>
      <c r="G34" s="273"/>
      <c r="H34" s="274">
        <f t="shared" si="6"/>
        <v>0</v>
      </c>
      <c r="I34" s="187" t="str">
        <f t="shared" si="7"/>
        <v/>
      </c>
      <c r="J34" s="275"/>
      <c r="K34" s="276"/>
      <c r="L34" s="277"/>
      <c r="M34" s="278"/>
      <c r="N34" s="279"/>
      <c r="O34" s="280"/>
      <c r="P34" s="281"/>
      <c r="Q34" s="272">
        <f t="shared" si="8"/>
        <v>0</v>
      </c>
      <c r="R34" s="282">
        <f t="shared" si="9"/>
        <v>0</v>
      </c>
      <c r="S34" s="278"/>
      <c r="T34" s="266"/>
      <c r="U34" s="283"/>
    </row>
    <row r="35" spans="1:21" x14ac:dyDescent="0.25">
      <c r="A35" s="42">
        <v>5</v>
      </c>
      <c r="B35" s="261" t="s">
        <v>44</v>
      </c>
      <c r="C35" s="47"/>
      <c r="D35" s="44">
        <v>1</v>
      </c>
      <c r="E35" s="44">
        <v>1500</v>
      </c>
      <c r="F35" s="44">
        <f t="shared" si="5"/>
        <v>1500</v>
      </c>
      <c r="G35" s="273"/>
      <c r="H35" s="274">
        <f t="shared" si="6"/>
        <v>0</v>
      </c>
      <c r="I35" s="187" t="str">
        <f t="shared" si="7"/>
        <v/>
      </c>
      <c r="J35" s="275"/>
      <c r="K35" s="276"/>
      <c r="L35" s="277"/>
      <c r="M35" s="278"/>
      <c r="N35" s="279"/>
      <c r="O35" s="280"/>
      <c r="P35" s="281"/>
      <c r="Q35" s="272">
        <f t="shared" si="8"/>
        <v>0</v>
      </c>
      <c r="R35" s="282">
        <f t="shared" si="9"/>
        <v>0</v>
      </c>
      <c r="S35" s="278"/>
      <c r="T35" s="266"/>
      <c r="U35" s="283"/>
    </row>
    <row r="36" spans="1:21" x14ac:dyDescent="0.25">
      <c r="A36" s="42">
        <v>6</v>
      </c>
      <c r="B36" s="261" t="s">
        <v>235</v>
      </c>
      <c r="C36" s="40" t="s">
        <v>238</v>
      </c>
      <c r="D36" s="43">
        <f>ROUNDUP('שאלון למילוי הבקשה - חובה'!$D$33/10,0)</f>
        <v>0</v>
      </c>
      <c r="E36" s="43">
        <f>IF('שאלון למילוי הבקשה - חובה'!$D$33&lt;31,2500,4000)</f>
        <v>2500</v>
      </c>
      <c r="F36" s="44">
        <f t="shared" si="5"/>
        <v>0</v>
      </c>
      <c r="G36" s="273"/>
      <c r="H36" s="274">
        <f t="shared" si="6"/>
        <v>0</v>
      </c>
      <c r="I36" s="187" t="str">
        <f t="shared" si="7"/>
        <v/>
      </c>
      <c r="J36" s="275"/>
      <c r="K36" s="276"/>
      <c r="L36" s="277"/>
      <c r="M36" s="278"/>
      <c r="N36" s="279"/>
      <c r="O36" s="280"/>
      <c r="P36" s="281"/>
      <c r="Q36" s="272">
        <f t="shared" si="8"/>
        <v>0</v>
      </c>
      <c r="R36" s="282">
        <f t="shared" si="9"/>
        <v>0</v>
      </c>
      <c r="S36" s="278"/>
      <c r="T36" s="266"/>
      <c r="U36" s="283"/>
    </row>
    <row r="37" spans="1:21" x14ac:dyDescent="0.25">
      <c r="A37" s="42">
        <v>7</v>
      </c>
      <c r="B37" s="40" t="s">
        <v>267</v>
      </c>
      <c r="C37" s="40" t="s">
        <v>238</v>
      </c>
      <c r="D37" s="43">
        <f>ROUNDUP('שאלון למילוי הבקשה - חובה'!$D$33/10,0)</f>
        <v>0</v>
      </c>
      <c r="E37" s="44">
        <v>500</v>
      </c>
      <c r="F37" s="44">
        <f t="shared" si="5"/>
        <v>0</v>
      </c>
      <c r="G37" s="273"/>
      <c r="H37" s="274">
        <f t="shared" si="6"/>
        <v>0</v>
      </c>
      <c r="I37" s="187" t="str">
        <f t="shared" si="7"/>
        <v/>
      </c>
      <c r="J37" s="275"/>
      <c r="K37" s="276"/>
      <c r="L37" s="277"/>
      <c r="M37" s="278"/>
      <c r="N37" s="279"/>
      <c r="O37" s="280"/>
      <c r="P37" s="281"/>
      <c r="Q37" s="272">
        <f t="shared" si="8"/>
        <v>0</v>
      </c>
      <c r="R37" s="282">
        <f t="shared" si="9"/>
        <v>0</v>
      </c>
      <c r="S37" s="278"/>
      <c r="T37" s="266"/>
      <c r="U37" s="283"/>
    </row>
    <row r="38" spans="1:21" x14ac:dyDescent="0.25">
      <c r="A38" s="42">
        <v>8</v>
      </c>
      <c r="B38" s="261" t="s">
        <v>236</v>
      </c>
      <c r="C38" s="40" t="s">
        <v>238</v>
      </c>
      <c r="D38" s="43">
        <f>ROUNDUP('שאלון למילוי הבקשה - חובה'!$D$33/10,0)</f>
        <v>0</v>
      </c>
      <c r="E38" s="43">
        <f>IF('שאלון למילוי הבקשה - חובה'!$D$33&lt;31,3000,6000)</f>
        <v>3000</v>
      </c>
      <c r="F38" s="44">
        <f t="shared" si="5"/>
        <v>0</v>
      </c>
      <c r="G38" s="273"/>
      <c r="H38" s="274">
        <f t="shared" si="6"/>
        <v>0</v>
      </c>
      <c r="I38" s="187" t="str">
        <f t="shared" si="7"/>
        <v/>
      </c>
      <c r="J38" s="275"/>
      <c r="K38" s="276"/>
      <c r="L38" s="277"/>
      <c r="M38" s="278"/>
      <c r="N38" s="279"/>
      <c r="O38" s="280"/>
      <c r="P38" s="281"/>
      <c r="Q38" s="272">
        <f t="shared" si="8"/>
        <v>0</v>
      </c>
      <c r="R38" s="282">
        <f t="shared" si="9"/>
        <v>0</v>
      </c>
      <c r="S38" s="278"/>
      <c r="T38" s="266"/>
      <c r="U38" s="283"/>
    </row>
    <row r="39" spans="1:21" s="67" customFormat="1" x14ac:dyDescent="0.25">
      <c r="A39" s="121"/>
      <c r="B39" s="300" t="s">
        <v>45</v>
      </c>
      <c r="C39" s="300"/>
      <c r="D39" s="43"/>
      <c r="E39" s="43"/>
      <c r="F39" s="43">
        <f>SUM(F31:F38)</f>
        <v>34500</v>
      </c>
      <c r="G39" s="122"/>
      <c r="H39" s="122">
        <f>SUM(H31:H38)</f>
        <v>0</v>
      </c>
      <c r="I39" s="122"/>
      <c r="J39" s="122"/>
      <c r="K39" s="122">
        <f>SUM(K31:K38)</f>
        <v>0</v>
      </c>
      <c r="L39" s="208"/>
      <c r="M39" s="209"/>
      <c r="N39" s="210"/>
      <c r="O39" s="211"/>
      <c r="P39" s="122">
        <f t="shared" ref="P39:Q39" si="10">SUM(P31:P38)</f>
        <v>0</v>
      </c>
      <c r="Q39" s="122">
        <f t="shared" si="10"/>
        <v>0</v>
      </c>
      <c r="R39" s="282">
        <f t="shared" si="9"/>
        <v>0</v>
      </c>
      <c r="S39" s="214"/>
      <c r="T39" s="215"/>
      <c r="U39" s="216"/>
    </row>
    <row r="40" spans="1:21" x14ac:dyDescent="0.25">
      <c r="A40" s="49"/>
      <c r="B40" s="52"/>
      <c r="C40" s="5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1:21" x14ac:dyDescent="0.25">
      <c r="A41" s="59">
        <v>2.5</v>
      </c>
      <c r="B41" s="36" t="s">
        <v>126</v>
      </c>
      <c r="C41" s="159"/>
      <c r="D41" s="37"/>
      <c r="E41" s="37"/>
      <c r="F41" s="38"/>
      <c r="G41" s="39" t="s">
        <v>127</v>
      </c>
      <c r="H41" s="37"/>
      <c r="I41" s="37"/>
      <c r="J41" s="38"/>
      <c r="K41" s="257" t="s">
        <v>165</v>
      </c>
      <c r="L41" s="258"/>
      <c r="M41" s="258" t="s">
        <v>166</v>
      </c>
      <c r="N41" s="258"/>
      <c r="O41" s="258"/>
      <c r="P41" s="258"/>
      <c r="Q41" s="258"/>
      <c r="R41" s="258"/>
      <c r="S41" s="258"/>
      <c r="T41" s="258"/>
      <c r="U41" s="259"/>
    </row>
    <row r="42" spans="1:21" ht="41.25" customHeight="1" x14ac:dyDescent="0.25">
      <c r="A42" s="85" t="s">
        <v>116</v>
      </c>
      <c r="B42" s="40" t="s">
        <v>26</v>
      </c>
      <c r="C42" s="40"/>
      <c r="D42" s="40" t="s">
        <v>36</v>
      </c>
      <c r="E42" s="40" t="s">
        <v>37</v>
      </c>
      <c r="F42" s="40" t="s">
        <v>38</v>
      </c>
      <c r="G42" s="40" t="s">
        <v>28</v>
      </c>
      <c r="H42" s="40" t="s">
        <v>39</v>
      </c>
      <c r="I42" s="40" t="s">
        <v>29</v>
      </c>
      <c r="J42" s="40" t="s">
        <v>105</v>
      </c>
      <c r="K42" s="262" t="s">
        <v>106</v>
      </c>
      <c r="L42" s="263" t="s">
        <v>167</v>
      </c>
      <c r="M42" s="264" t="s">
        <v>168</v>
      </c>
      <c r="N42" s="264" t="s">
        <v>169</v>
      </c>
      <c r="O42" s="264" t="s">
        <v>170</v>
      </c>
      <c r="P42" s="265" t="s">
        <v>171</v>
      </c>
      <c r="Q42" s="265" t="s">
        <v>172</v>
      </c>
      <c r="R42" s="264" t="s">
        <v>30</v>
      </c>
      <c r="S42" s="264" t="s">
        <v>173</v>
      </c>
      <c r="T42" s="266" t="s">
        <v>174</v>
      </c>
      <c r="U42" s="267" t="s">
        <v>175</v>
      </c>
    </row>
    <row r="43" spans="1:21" ht="83.4" x14ac:dyDescent="0.3">
      <c r="A43" s="42">
        <v>1</v>
      </c>
      <c r="B43" s="261" t="s">
        <v>264</v>
      </c>
      <c r="C43" s="176" t="s">
        <v>265</v>
      </c>
      <c r="D43" s="44">
        <v>1</v>
      </c>
      <c r="E43" s="46">
        <f>10000+'שאלון למילוי הבקשה - חובה'!$D$35*1500*3</f>
        <v>10000</v>
      </c>
      <c r="F43" s="44">
        <f>D43*E43</f>
        <v>10000</v>
      </c>
      <c r="G43" s="273"/>
      <c r="H43" s="274">
        <f>E43*G43</f>
        <v>0</v>
      </c>
      <c r="I43" s="187" t="str">
        <f>IF(G43&gt;D43,"נא להסביר חריגה","")</f>
        <v/>
      </c>
      <c r="J43" s="275"/>
      <c r="K43" s="276"/>
      <c r="L43" s="277"/>
      <c r="M43" s="278"/>
      <c r="N43" s="279"/>
      <c r="O43" s="280"/>
      <c r="P43" s="281"/>
      <c r="Q43" s="272">
        <f>IF(P43="",0,P43-H43)</f>
        <v>0</v>
      </c>
      <c r="R43" s="282">
        <f>IF(H43=0,0,Q43/H43)</f>
        <v>0</v>
      </c>
      <c r="S43" s="278"/>
      <c r="T43" s="266"/>
      <c r="U43" s="283"/>
    </row>
    <row r="44" spans="1:21" x14ac:dyDescent="0.25">
      <c r="A44" s="49"/>
      <c r="B44" s="52"/>
      <c r="C44" s="52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</row>
    <row r="45" spans="1:21" x14ac:dyDescent="0.25">
      <c r="A45" s="59">
        <v>2.6</v>
      </c>
      <c r="B45" s="36" t="s">
        <v>128</v>
      </c>
      <c r="C45" s="159"/>
      <c r="D45" s="37"/>
      <c r="E45" s="37"/>
      <c r="F45" s="38"/>
      <c r="G45" s="39" t="s">
        <v>129</v>
      </c>
      <c r="H45" s="37"/>
      <c r="I45" s="37"/>
      <c r="J45" s="38"/>
      <c r="K45" s="257" t="s">
        <v>165</v>
      </c>
      <c r="L45" s="258"/>
      <c r="M45" s="258" t="s">
        <v>166</v>
      </c>
      <c r="N45" s="258"/>
      <c r="O45" s="258"/>
      <c r="P45" s="258"/>
      <c r="Q45" s="258"/>
      <c r="R45" s="258"/>
      <c r="S45" s="258"/>
      <c r="T45" s="258"/>
      <c r="U45" s="259"/>
    </row>
    <row r="46" spans="1:21" ht="41.25" customHeight="1" x14ac:dyDescent="0.25">
      <c r="A46" s="85" t="s">
        <v>116</v>
      </c>
      <c r="B46" s="40" t="s">
        <v>26</v>
      </c>
      <c r="C46" s="40"/>
      <c r="D46" s="40" t="s">
        <v>36</v>
      </c>
      <c r="E46" s="40" t="s">
        <v>37</v>
      </c>
      <c r="F46" s="40" t="s">
        <v>38</v>
      </c>
      <c r="G46" s="40" t="s">
        <v>28</v>
      </c>
      <c r="H46" s="40" t="s">
        <v>39</v>
      </c>
      <c r="I46" s="40" t="s">
        <v>29</v>
      </c>
      <c r="J46" s="40" t="s">
        <v>105</v>
      </c>
      <c r="K46" s="262" t="s">
        <v>106</v>
      </c>
      <c r="L46" s="263" t="s">
        <v>167</v>
      </c>
      <c r="M46" s="264" t="s">
        <v>168</v>
      </c>
      <c r="N46" s="264" t="s">
        <v>169</v>
      </c>
      <c r="O46" s="264" t="s">
        <v>170</v>
      </c>
      <c r="P46" s="265" t="s">
        <v>171</v>
      </c>
      <c r="Q46" s="265" t="s">
        <v>172</v>
      </c>
      <c r="R46" s="264" t="s">
        <v>30</v>
      </c>
      <c r="S46" s="264" t="s">
        <v>173</v>
      </c>
      <c r="T46" s="266" t="s">
        <v>174</v>
      </c>
      <c r="U46" s="267" t="s">
        <v>175</v>
      </c>
    </row>
    <row r="47" spans="1:21" x14ac:dyDescent="0.25">
      <c r="A47" s="57">
        <v>1</v>
      </c>
      <c r="B47" s="40" t="s">
        <v>46</v>
      </c>
      <c r="C47" s="40"/>
      <c r="D47" s="44">
        <v>1</v>
      </c>
      <c r="E47" s="44">
        <v>5000</v>
      </c>
      <c r="F47" s="44">
        <f>D47*E47</f>
        <v>5000</v>
      </c>
      <c r="G47" s="273"/>
      <c r="H47" s="274">
        <f>E47*G47</f>
        <v>0</v>
      </c>
      <c r="I47" s="187" t="str">
        <f>IF(G47&gt;D47,"נא להסביר חריגה","")</f>
        <v/>
      </c>
      <c r="J47" s="275"/>
      <c r="K47" s="276"/>
      <c r="L47" s="277"/>
      <c r="M47" s="278"/>
      <c r="N47" s="279"/>
      <c r="O47" s="280"/>
      <c r="P47" s="281"/>
      <c r="Q47" s="272">
        <f>IF(P47="",0,P47-H47)</f>
        <v>0</v>
      </c>
      <c r="R47" s="282">
        <f>IF(H47=0,0,Q47/H47)</f>
        <v>0</v>
      </c>
      <c r="S47" s="278"/>
      <c r="T47" s="266"/>
      <c r="U47" s="283"/>
    </row>
    <row r="48" spans="1:21" x14ac:dyDescent="0.25">
      <c r="A48" s="59">
        <v>2</v>
      </c>
      <c r="B48" s="40" t="s">
        <v>47</v>
      </c>
      <c r="C48" s="40" t="s">
        <v>238</v>
      </c>
      <c r="D48" s="43">
        <f>ROUNDUP('שאלון למילוי הבקשה - חובה'!$D$33/10,0)</f>
        <v>0</v>
      </c>
      <c r="E48" s="44">
        <v>700</v>
      </c>
      <c r="F48" s="44">
        <f>D48*E48</f>
        <v>0</v>
      </c>
      <c r="G48" s="273"/>
      <c r="H48" s="274">
        <f>E48*G48</f>
        <v>0</v>
      </c>
      <c r="I48" s="187" t="str">
        <f>IF(G48&gt;D48,"נא להסביר חריגה","")</f>
        <v/>
      </c>
      <c r="J48" s="275"/>
      <c r="K48" s="276"/>
      <c r="L48" s="277"/>
      <c r="M48" s="278"/>
      <c r="N48" s="279"/>
      <c r="O48" s="280"/>
      <c r="P48" s="281"/>
      <c r="Q48" s="272">
        <f t="shared" ref="Q48:Q49" si="11">IF(P48="",0,P48-H48)</f>
        <v>0</v>
      </c>
      <c r="R48" s="282">
        <f t="shared" ref="R48:R50" si="12">IF(H48=0,0,Q48/H48)</f>
        <v>0</v>
      </c>
      <c r="S48" s="278"/>
      <c r="T48" s="266"/>
      <c r="U48" s="283"/>
    </row>
    <row r="49" spans="1:21" x14ac:dyDescent="0.25">
      <c r="A49" s="42">
        <v>3</v>
      </c>
      <c r="B49" s="40" t="s">
        <v>48</v>
      </c>
      <c r="C49" s="40"/>
      <c r="D49" s="43">
        <f>IF('שאלון למילוי הבקשה - חובה'!$D$33&lt;31,1,IF('שאלון למילוי הבקשה - חובה'!$D$33&lt;61,2,3))</f>
        <v>1</v>
      </c>
      <c r="E49" s="44">
        <v>1300</v>
      </c>
      <c r="F49" s="44">
        <f>D49*E49</f>
        <v>1300</v>
      </c>
      <c r="G49" s="273"/>
      <c r="H49" s="274">
        <f>E49*G49</f>
        <v>0</v>
      </c>
      <c r="I49" s="187" t="str">
        <f>IF(G49&gt;D49,"נא להסביר חריגה","")</f>
        <v/>
      </c>
      <c r="J49" s="275"/>
      <c r="K49" s="276"/>
      <c r="L49" s="277"/>
      <c r="M49" s="278"/>
      <c r="N49" s="279"/>
      <c r="O49" s="280"/>
      <c r="P49" s="281"/>
      <c r="Q49" s="272">
        <f t="shared" si="11"/>
        <v>0</v>
      </c>
      <c r="R49" s="282">
        <f t="shared" si="12"/>
        <v>0</v>
      </c>
      <c r="S49" s="278"/>
      <c r="T49" s="266"/>
      <c r="U49" s="283"/>
    </row>
    <row r="50" spans="1:21" s="67" customFormat="1" x14ac:dyDescent="0.25">
      <c r="A50" s="121"/>
      <c r="B50" s="300" t="s">
        <v>130</v>
      </c>
      <c r="C50" s="300"/>
      <c r="D50" s="43"/>
      <c r="E50" s="43"/>
      <c r="F50" s="43">
        <f>SUM(F47:F49)</f>
        <v>6300</v>
      </c>
      <c r="G50" s="122"/>
      <c r="H50" s="122">
        <f>SUM(H47:H49)</f>
        <v>0</v>
      </c>
      <c r="I50" s="122"/>
      <c r="J50" s="122"/>
      <c r="K50" s="122">
        <f>SUM(K47:K49)</f>
        <v>0</v>
      </c>
      <c r="L50" s="208"/>
      <c r="M50" s="209"/>
      <c r="N50" s="210"/>
      <c r="O50" s="211"/>
      <c r="P50" s="122">
        <f t="shared" ref="P50:Q50" si="13">SUM(P47:P49)</f>
        <v>0</v>
      </c>
      <c r="Q50" s="122">
        <f t="shared" si="13"/>
        <v>0</v>
      </c>
      <c r="R50" s="282">
        <f t="shared" si="12"/>
        <v>0</v>
      </c>
      <c r="S50" s="214"/>
      <c r="T50" s="215"/>
      <c r="U50" s="216"/>
    </row>
    <row r="51" spans="1:21" x14ac:dyDescent="0.25">
      <c r="A51" s="49"/>
      <c r="B51" s="86"/>
      <c r="C51" s="86"/>
      <c r="D51" s="53"/>
      <c r="E51" s="53"/>
      <c r="F51" s="53"/>
      <c r="G51" s="54"/>
      <c r="H51" s="54"/>
      <c r="I51" s="54"/>
      <c r="J51" s="54"/>
      <c r="K51" s="54"/>
      <c r="L51" s="54"/>
      <c r="M51" s="55"/>
      <c r="N51" s="56"/>
      <c r="O51" s="53"/>
      <c r="P51" s="35"/>
      <c r="Q51" s="60"/>
    </row>
    <row r="52" spans="1:21" s="67" customFormat="1" x14ac:dyDescent="0.25">
      <c r="A52" s="61" t="s">
        <v>35</v>
      </c>
      <c r="B52" s="90" t="str">
        <f>B10</f>
        <v xml:space="preserve">ציוד כללי לחללים משותפים וציוד נוסף </v>
      </c>
      <c r="C52" s="90"/>
      <c r="D52" s="91"/>
      <c r="E52" s="91"/>
      <c r="F52" s="91"/>
      <c r="G52" s="91"/>
      <c r="H52" s="91"/>
      <c r="P52" s="92"/>
      <c r="R52" s="31"/>
    </row>
    <row r="53" spans="1:21" ht="41.25" customHeight="1" x14ac:dyDescent="0.25">
      <c r="A53" s="39"/>
      <c r="B53" s="69" t="str">
        <f>B10</f>
        <v xml:space="preserve">ציוד כללי לחללים משותפים וציוד נוסף </v>
      </c>
      <c r="C53" s="69"/>
      <c r="D53" s="70"/>
      <c r="E53" s="71"/>
      <c r="F53" s="93" t="s">
        <v>49</v>
      </c>
      <c r="G53" s="94"/>
      <c r="H53" s="93" t="s">
        <v>50</v>
      </c>
      <c r="I53" s="94"/>
      <c r="J53" s="94"/>
      <c r="K53" s="40" t="str">
        <f>K$12</f>
        <v>צפי עלות רכישה כולל מע"מ</v>
      </c>
      <c r="L53" s="72"/>
      <c r="M53" s="74"/>
      <c r="N53" s="74"/>
      <c r="O53" s="73"/>
      <c r="P53" s="51" t="str">
        <f>P$12</f>
        <v>סכום הוצאה בש"ח וכולל מע"מ</v>
      </c>
      <c r="Q53" s="72" t="str">
        <f>Q$12</f>
        <v>סכום חריגה מהתקציב - הפרש בין הסכום שנרכש בפועל לעלות שאושרה בהסכם</v>
      </c>
      <c r="R53" s="264" t="s">
        <v>30</v>
      </c>
      <c r="S53" s="74"/>
      <c r="T53" s="74"/>
      <c r="U53" s="73"/>
    </row>
    <row r="54" spans="1:21" s="67" customFormat="1" x14ac:dyDescent="0.25">
      <c r="A54" s="75"/>
      <c r="B54" s="76" t="str">
        <f>'ציוד לחדרי קבוצות'!B45</f>
        <v>סה"כ  וכולל מע"מ</v>
      </c>
      <c r="C54" s="76"/>
      <c r="D54" s="77"/>
      <c r="E54" s="78"/>
      <c r="F54" s="43">
        <f>F16+F20+F27+F39+F43+F50</f>
        <v>137300</v>
      </c>
      <c r="G54" s="43"/>
      <c r="H54" s="43">
        <f>H16+H20+H27+H39+H43+H50</f>
        <v>0</v>
      </c>
      <c r="I54" s="95"/>
      <c r="J54" s="95"/>
      <c r="K54" s="43">
        <f>K16+K20+K27+K39+K43+K50</f>
        <v>0</v>
      </c>
      <c r="L54" s="80"/>
      <c r="M54" s="82"/>
      <c r="N54" s="82"/>
      <c r="O54" s="305"/>
      <c r="P54" s="43">
        <f t="shared" ref="P54:Q54" si="14">P16+P20+P27+P39+P43+P50</f>
        <v>0</v>
      </c>
      <c r="Q54" s="43">
        <f t="shared" si="14"/>
        <v>0</v>
      </c>
      <c r="R54" s="282">
        <f>IF(H54=0,0,Q54/H54)</f>
        <v>0</v>
      </c>
      <c r="S54" s="304"/>
      <c r="T54" s="304"/>
      <c r="U54" s="83"/>
    </row>
    <row r="56" spans="1:21" x14ac:dyDescent="0.25">
      <c r="G56" s="53"/>
      <c r="H56" s="53"/>
      <c r="L56" s="53"/>
      <c r="O56" s="53"/>
    </row>
    <row r="57" spans="1:21" x14ac:dyDescent="0.25">
      <c r="G57" s="53"/>
    </row>
    <row r="58" spans="1:21" x14ac:dyDescent="0.25">
      <c r="G58" s="53"/>
    </row>
  </sheetData>
  <sheetProtection algorithmName="SHA-512" hashValue="oPWkOJeAH1C1yPtsyEFogiw05DQCshdvKqq3RdSOmmhK8043aw2Am+K4rFjHAFY64dhSPYteap5erTEwgw1Ifg==" saltValue="S33IUkHDJLVRs4QeQ36IpA==" spinCount="100000" sheet="1" formatCells="0" formatColumns="0" formatRows="0"/>
  <phoneticPr fontId="40" type="noConversion"/>
  <conditionalFormatting sqref="B8:C8">
    <cfRule type="containsText" dxfId="68" priority="42" operator="containsText" text="נא להסביר חריגה כאן">
      <formula>NOT(ISERROR(SEARCH("נא להסביר חריגה כאן",B8)))</formula>
    </cfRule>
  </conditionalFormatting>
  <conditionalFormatting sqref="I13:I15">
    <cfRule type="cellIs" dxfId="67" priority="40" operator="equal">
      <formula>"נא להסביר חריגה"</formula>
    </cfRule>
    <cfRule type="cellIs" dxfId="66" priority="39" operator="equal">
      <formula>"נא להסביר חריגה"</formula>
    </cfRule>
  </conditionalFormatting>
  <conditionalFormatting sqref="I14:I15">
    <cfRule type="cellIs" dxfId="65" priority="68" operator="equal">
      <formula>"נא להסביר חריגה"</formula>
    </cfRule>
    <cfRule type="cellIs" dxfId="64" priority="69" operator="equal">
      <formula>"נא להסביר חריגה"</formula>
    </cfRule>
  </conditionalFormatting>
  <conditionalFormatting sqref="I20">
    <cfRule type="cellIs" dxfId="63" priority="35" operator="equal">
      <formula>"נא להסביר חריגה"</formula>
    </cfRule>
    <cfRule type="cellIs" dxfId="62" priority="34" operator="equal">
      <formula>"נא להסביר חריגה"</formula>
    </cfRule>
  </conditionalFormatting>
  <conditionalFormatting sqref="I24:I26">
    <cfRule type="cellIs" dxfId="61" priority="32" operator="equal">
      <formula>"נא להסביר חריגה"</formula>
    </cfRule>
    <cfRule type="cellIs" dxfId="60" priority="31" operator="equal">
      <formula>"נא להסביר חריגה"</formula>
    </cfRule>
  </conditionalFormatting>
  <conditionalFormatting sqref="I31:I38">
    <cfRule type="cellIs" dxfId="59" priority="29" operator="equal">
      <formula>"נא להסביר חריגה"</formula>
    </cfRule>
    <cfRule type="cellIs" dxfId="58" priority="28" operator="equal">
      <formula>"נא להסביר חריגה"</formula>
    </cfRule>
  </conditionalFormatting>
  <conditionalFormatting sqref="I43">
    <cfRule type="containsText" dxfId="57" priority="27" operator="containsText" text="נא להסביר חריגה כאן">
      <formula>NOT(ISERROR(SEARCH("נא להסביר חריגה כאן",I43)))</formula>
    </cfRule>
    <cfRule type="cellIs" dxfId="56" priority="26" operator="equal">
      <formula>"נא להסביר חריגה"</formula>
    </cfRule>
    <cfRule type="cellIs" dxfId="55" priority="25" operator="equal">
      <formula>"נא להסביר חריגה"</formula>
    </cfRule>
  </conditionalFormatting>
  <conditionalFormatting sqref="I47:I49">
    <cfRule type="cellIs" dxfId="54" priority="22" operator="equal">
      <formula>"נא להסביר חריגה"</formula>
    </cfRule>
    <cfRule type="cellIs" dxfId="53" priority="23" operator="equal">
      <formula>"נא להסביר חריגה"</formula>
    </cfRule>
  </conditionalFormatting>
  <conditionalFormatting sqref="I13:J15">
    <cfRule type="containsText" dxfId="52" priority="41" operator="containsText" text="נא להסביר חריגה כאן">
      <formula>NOT(ISERROR(SEARCH("נא להסביר חריגה כאן",I13)))</formula>
    </cfRule>
  </conditionalFormatting>
  <conditionalFormatting sqref="I14:J15">
    <cfRule type="containsText" dxfId="51" priority="70" operator="containsText" text="נא להסביר חריגה כאן">
      <formula>NOT(ISERROR(SEARCH("נא להסביר חריגה כאן",I14)))</formula>
    </cfRule>
  </conditionalFormatting>
  <conditionalFormatting sqref="I20:J20">
    <cfRule type="containsText" dxfId="50" priority="36" operator="containsText" text="נא להסביר חריגה כאן">
      <formula>NOT(ISERROR(SEARCH("נא להסביר חריגה כאן",I20)))</formula>
    </cfRule>
  </conditionalFormatting>
  <conditionalFormatting sqref="I24:J26">
    <cfRule type="containsText" dxfId="49" priority="33" operator="containsText" text="נא להסביר חריגה כאן">
      <formula>NOT(ISERROR(SEARCH("נא להסביר חריגה כאן",I24)))</formula>
    </cfRule>
  </conditionalFormatting>
  <conditionalFormatting sqref="I31:J38">
    <cfRule type="containsText" dxfId="48" priority="30" operator="containsText" text="נא להסביר חריגה כאן">
      <formula>NOT(ISERROR(SEARCH("נא להסביר חריגה כאן",I31)))</formula>
    </cfRule>
  </conditionalFormatting>
  <conditionalFormatting sqref="I47:J49">
    <cfRule type="containsText" dxfId="47" priority="24" operator="containsText" text="נא להסביר חריגה כאן">
      <formula>NOT(ISERROR(SEARCH("נא להסביר חריגה כאן",I47)))</formula>
    </cfRule>
  </conditionalFormatting>
  <conditionalFormatting sqref="J43:K43">
    <cfRule type="containsText" dxfId="46" priority="1" operator="containsText" text="נא להסביר חריגה כאן">
      <formula>NOT(ISERROR(SEARCH("נא להסביר חריגה כאן",J43)))</formula>
    </cfRule>
  </conditionalFormatting>
  <conditionalFormatting sqref="K13:K15">
    <cfRule type="containsText" dxfId="45" priority="20" operator="containsText" text="נא להסביר חריגה כאן">
      <formula>NOT(ISERROR(SEARCH("נא להסביר חריגה כאן",K13)))</formula>
    </cfRule>
  </conditionalFormatting>
  <conditionalFormatting sqref="K20">
    <cfRule type="containsText" dxfId="44" priority="18" operator="containsText" text="נא להסביר חריגה כאן">
      <formula>NOT(ISERROR(SEARCH("נא להסביר חריגה כאן",K20)))</formula>
    </cfRule>
  </conditionalFormatting>
  <conditionalFormatting sqref="K24:K26">
    <cfRule type="containsText" dxfId="43" priority="16" operator="containsText" text="נא להסביר חריגה כאן">
      <formula>NOT(ISERROR(SEARCH("נא להסביר חריגה כאן",K24)))</formula>
    </cfRule>
  </conditionalFormatting>
  <conditionalFormatting sqref="K31:K38">
    <cfRule type="containsText" dxfId="42" priority="14" operator="containsText" text="נא להסביר חריגה כאן">
      <formula>NOT(ISERROR(SEARCH("נא להסביר חריגה כאן",K31)))</formula>
    </cfRule>
  </conditionalFormatting>
  <conditionalFormatting sqref="K47:K49">
    <cfRule type="containsText" dxfId="41" priority="10" operator="containsText" text="נא להסביר חריגה כאן">
      <formula>NOT(ISERROR(SEARCH("נא להסביר חריגה כאן",K47)))</formula>
    </cfRule>
  </conditionalFormatting>
  <conditionalFormatting sqref="Q51">
    <cfRule type="cellIs" dxfId="40" priority="101" operator="greaterThan">
      <formula>0</formula>
    </cfRule>
  </conditionalFormatting>
  <conditionalFormatting sqref="Q13:R15">
    <cfRule type="cellIs" dxfId="39" priority="21" operator="greaterThan">
      <formula>0</formula>
    </cfRule>
  </conditionalFormatting>
  <conditionalFormatting sqref="Q20:R20">
    <cfRule type="cellIs" dxfId="38" priority="19" operator="greaterThan">
      <formula>0</formula>
    </cfRule>
  </conditionalFormatting>
  <conditionalFormatting sqref="Q24:R26">
    <cfRule type="cellIs" dxfId="37" priority="17" operator="greaterThan">
      <formula>0</formula>
    </cfRule>
  </conditionalFormatting>
  <conditionalFormatting sqref="Q31:R38">
    <cfRule type="cellIs" dxfId="36" priority="15" operator="greaterThan">
      <formula>0</formula>
    </cfRule>
  </conditionalFormatting>
  <conditionalFormatting sqref="Q43:R43">
    <cfRule type="cellIs" dxfId="35" priority="13" operator="greaterThan">
      <formula>0</formula>
    </cfRule>
  </conditionalFormatting>
  <conditionalFormatting sqref="Q47:R49">
    <cfRule type="cellIs" dxfId="34" priority="11" operator="greaterThan">
      <formula>0</formula>
    </cfRule>
  </conditionalFormatting>
  <conditionalFormatting sqref="R16">
    <cfRule type="cellIs" dxfId="33" priority="9" operator="greaterThan">
      <formula>0</formula>
    </cfRule>
  </conditionalFormatting>
  <conditionalFormatting sqref="R27">
    <cfRule type="cellIs" dxfId="32" priority="8" operator="greaterThan">
      <formula>0</formula>
    </cfRule>
  </conditionalFormatting>
  <conditionalFormatting sqref="R39">
    <cfRule type="cellIs" dxfId="31" priority="7" operator="greaterThan">
      <formula>0</formula>
    </cfRule>
  </conditionalFormatting>
  <conditionalFormatting sqref="R50">
    <cfRule type="cellIs" dxfId="30" priority="6" operator="greaterThan">
      <formula>0</formula>
    </cfRule>
  </conditionalFormatting>
  <conditionalFormatting sqref="R54">
    <cfRule type="cellIs" dxfId="29" priority="4" operator="greaterThan">
      <formula>0</formula>
    </cfRule>
  </conditionalFormatting>
  <conditionalFormatting sqref="S54:U54">
    <cfRule type="cellIs" dxfId="28" priority="5" operator="greaterThan">
      <formula>0</formula>
    </cfRule>
  </conditionalFormatting>
  <pageMargins left="0.70833333333333304" right="1.2993055555555599" top="0.74861111111111101" bottom="0.74791666666666701" header="0.31527777777777799" footer="0.511811023622047"/>
  <pageSetup scale="80" orientation="landscape" horizontalDpi="300" verticalDpi="300"/>
  <headerFooter>
    <oddHeader>&amp;C&amp;"David,Regular"&amp;16 קרנות הביטוח הלאומי_x005F_x000a_הקרן לפיתוח שרותים לנכים</oddHeader>
  </headerFooter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2435-2CBE-47CD-AB21-0144A3F0A0B0}">
  <dimension ref="A1:V53"/>
  <sheetViews>
    <sheetView rightToLeft="1" zoomScale="80" zoomScaleNormal="80" workbookViewId="0">
      <selection activeCell="D11" sqref="D11"/>
    </sheetView>
  </sheetViews>
  <sheetFormatPr defaultColWidth="8.6640625" defaultRowHeight="13.8" outlineLevelRow="1" outlineLevelCol="1" x14ac:dyDescent="0.25"/>
  <cols>
    <col min="1" max="1" width="5.109375" style="163" customWidth="1"/>
    <col min="2" max="2" width="25.6640625" style="163" customWidth="1"/>
    <col min="3" max="3" width="37.21875" style="163" customWidth="1"/>
    <col min="4" max="4" width="8.6640625" style="163"/>
    <col min="5" max="6" width="9.5546875" style="163" bestFit="1" customWidth="1"/>
    <col min="7" max="8" width="8.6640625" style="163"/>
    <col min="9" max="9" width="19.5546875" style="163" customWidth="1"/>
    <col min="10" max="10" width="13.88671875" style="163" customWidth="1"/>
    <col min="11" max="11" width="10.44140625" style="163" hidden="1" customWidth="1" outlineLevel="1"/>
    <col min="12" max="12" width="8.6640625" style="163" hidden="1" customWidth="1" outlineLevel="1"/>
    <col min="13" max="13" width="14.44140625" style="163" hidden="1" customWidth="1" outlineLevel="1"/>
    <col min="14" max="15" width="8.6640625" style="163" hidden="1" customWidth="1" outlineLevel="1"/>
    <col min="16" max="16" width="12.109375" style="163" hidden="1" customWidth="1" outlineLevel="1"/>
    <col min="17" max="17" width="19.21875" style="163" hidden="1" customWidth="1" outlineLevel="1"/>
    <col min="18" max="18" width="13.21875" style="163" hidden="1" customWidth="1" outlineLevel="1"/>
    <col min="19" max="21" width="8.6640625" style="163" hidden="1" customWidth="1" outlineLevel="1"/>
    <col min="22" max="22" width="8.6640625" style="163" collapsed="1"/>
    <col min="23" max="16384" width="8.6640625" style="163"/>
  </cols>
  <sheetData>
    <row r="1" spans="1:21" x14ac:dyDescent="0.25">
      <c r="A1" s="13"/>
      <c r="B1" s="2" t="str">
        <f>'שאלון למילוי הבקשה - חובה'!B1</f>
        <v>תקן ציוד כללי בסיסי למרכזי פעילות יומית לאנשים עם מוגבלות- מרחבים: גירסת- 1.9.2026</v>
      </c>
      <c r="C1" s="6"/>
      <c r="D1" s="13"/>
    </row>
    <row r="2" spans="1:21" ht="15" customHeight="1" x14ac:dyDescent="0.3">
      <c r="A2" s="34"/>
      <c r="B2" s="7" t="str">
        <f>'שאלון למילוי הבקשה - חובה'!$C$7</f>
        <v>שם הגוף המבקש:</v>
      </c>
      <c r="C2" s="7"/>
      <c r="D2" s="340">
        <f>'שאלון למילוי הבקשה - חובה'!$D$7</f>
        <v>0</v>
      </c>
    </row>
    <row r="3" spans="1:21" ht="15" customHeight="1" x14ac:dyDescent="0.3">
      <c r="A3" s="34"/>
      <c r="B3" s="7" t="str">
        <f>'שאלון למילוי הבקשה - חובה'!$C$18</f>
        <v>שם המסגרת:</v>
      </c>
      <c r="C3" s="7"/>
      <c r="D3" s="340">
        <f>'שאלון למילוי הבקשה - חובה'!$D$18</f>
        <v>0</v>
      </c>
    </row>
    <row r="4" spans="1:21" ht="15" customHeight="1" x14ac:dyDescent="0.25">
      <c r="B4" s="7" t="str">
        <f>'שאלון למילוי הבקשה - חובה'!$C$33</f>
        <v>מספר האנשים שעבורם מיועד הפרויקט (בין 20 ל-25):</v>
      </c>
      <c r="C4" s="7"/>
      <c r="D4" s="7">
        <f>'שאלון למילוי הבקשה - חובה'!$D$33</f>
        <v>0</v>
      </c>
    </row>
    <row r="5" spans="1:21" ht="15" customHeight="1" x14ac:dyDescent="0.25">
      <c r="B5" s="7" t="str">
        <f>'שאלון למילוי הבקשה - חובה'!$C$35</f>
        <v>מספר חדרי קבוצות כולל חדרי פעילות וסדנאות:</v>
      </c>
      <c r="C5" s="7"/>
      <c r="D5" s="7">
        <f>'שאלון למילוי הבקשה - חובה'!$D$35</f>
        <v>0</v>
      </c>
    </row>
    <row r="6" spans="1:21" x14ac:dyDescent="0.25">
      <c r="B6" s="164" t="s">
        <v>221</v>
      </c>
      <c r="C6" s="164"/>
    </row>
    <row r="7" spans="1:21" x14ac:dyDescent="0.25">
      <c r="B7" s="165" t="s">
        <v>191</v>
      </c>
      <c r="C7" s="165"/>
    </row>
    <row r="8" spans="1:21" x14ac:dyDescent="0.25">
      <c r="B8" s="165" t="s">
        <v>192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</row>
    <row r="9" spans="1:21" ht="18" x14ac:dyDescent="0.35">
      <c r="B9" s="165" t="s">
        <v>193</v>
      </c>
      <c r="C9" s="165"/>
      <c r="D9" s="351" t="s">
        <v>283</v>
      </c>
      <c r="J9" s="342">
        <v>50000</v>
      </c>
    </row>
    <row r="10" spans="1:21" ht="18" customHeight="1" x14ac:dyDescent="0.25">
      <c r="A10" s="166">
        <v>4</v>
      </c>
      <c r="B10" s="167" t="s">
        <v>194</v>
      </c>
      <c r="C10" s="168"/>
      <c r="D10" s="169"/>
      <c r="E10" s="169"/>
      <c r="F10" s="170"/>
      <c r="G10" s="171" t="s">
        <v>115</v>
      </c>
      <c r="H10" s="169"/>
      <c r="I10" s="169"/>
      <c r="J10" s="170"/>
      <c r="K10" s="172" t="s">
        <v>165</v>
      </c>
      <c r="L10" s="173"/>
      <c r="M10" s="173" t="s">
        <v>166</v>
      </c>
      <c r="N10" s="173"/>
      <c r="O10" s="173"/>
      <c r="P10" s="173"/>
      <c r="Q10" s="173"/>
      <c r="R10" s="173"/>
      <c r="S10" s="173"/>
      <c r="T10" s="173"/>
      <c r="U10" s="174"/>
    </row>
    <row r="11" spans="1:21" ht="55.2" x14ac:dyDescent="0.25">
      <c r="A11" s="175" t="s">
        <v>116</v>
      </c>
      <c r="B11" s="176" t="s">
        <v>26</v>
      </c>
      <c r="C11" s="176"/>
      <c r="D11" s="176" t="s">
        <v>36</v>
      </c>
      <c r="E11" s="176" t="s">
        <v>37</v>
      </c>
      <c r="F11" s="176" t="s">
        <v>38</v>
      </c>
      <c r="G11" s="176" t="s">
        <v>28</v>
      </c>
      <c r="H11" s="176" t="s">
        <v>39</v>
      </c>
      <c r="I11" s="176" t="s">
        <v>29</v>
      </c>
      <c r="J11" s="176" t="s">
        <v>195</v>
      </c>
      <c r="K11" s="177" t="s">
        <v>106</v>
      </c>
      <c r="L11" s="178" t="s">
        <v>167</v>
      </c>
      <c r="M11" s="179" t="s">
        <v>168</v>
      </c>
      <c r="N11" s="179" t="s">
        <v>169</v>
      </c>
      <c r="O11" s="179" t="s">
        <v>170</v>
      </c>
      <c r="P11" s="180" t="s">
        <v>171</v>
      </c>
      <c r="Q11" s="180" t="s">
        <v>172</v>
      </c>
      <c r="R11" s="179" t="s">
        <v>30</v>
      </c>
      <c r="S11" s="179" t="s">
        <v>173</v>
      </c>
      <c r="T11" s="181" t="s">
        <v>174</v>
      </c>
      <c r="U11" s="182" t="s">
        <v>175</v>
      </c>
    </row>
    <row r="12" spans="1:21" ht="27.6" x14ac:dyDescent="0.25">
      <c r="A12" s="166">
        <v>4.0999999999999996</v>
      </c>
      <c r="B12" s="261" t="s">
        <v>260</v>
      </c>
      <c r="C12" s="261" t="s">
        <v>261</v>
      </c>
      <c r="D12" s="184">
        <v>1</v>
      </c>
      <c r="E12" s="183">
        <v>30000</v>
      </c>
      <c r="F12" s="184">
        <f>D12*E12</f>
        <v>30000</v>
      </c>
      <c r="G12" s="185"/>
      <c r="H12" s="186">
        <f>E12*G12</f>
        <v>0</v>
      </c>
      <c r="I12" s="187" t="str">
        <f>IF(G12&gt;D12,"נא להסביר חריגה","")</f>
        <v/>
      </c>
      <c r="J12" s="188"/>
      <c r="K12" s="189"/>
      <c r="L12" s="190"/>
      <c r="M12" s="191"/>
      <c r="N12" s="192"/>
      <c r="O12" s="193"/>
      <c r="P12" s="194"/>
      <c r="Q12" s="195"/>
      <c r="R12" s="196"/>
      <c r="S12" s="191"/>
      <c r="T12" s="197"/>
      <c r="U12" s="198"/>
    </row>
    <row r="13" spans="1:21" hidden="1" outlineLevel="1" x14ac:dyDescent="0.25">
      <c r="A13" s="199"/>
      <c r="B13" s="200"/>
      <c r="C13" s="200"/>
      <c r="D13" s="200"/>
      <c r="E13" s="200"/>
      <c r="F13" s="200"/>
      <c r="G13" s="200"/>
      <c r="H13" s="200"/>
      <c r="I13" s="200"/>
      <c r="J13" s="201"/>
      <c r="K13" s="189"/>
      <c r="L13" s="190"/>
      <c r="M13" s="191"/>
      <c r="N13" s="192"/>
      <c r="O13" s="193"/>
      <c r="P13" s="194"/>
      <c r="Q13" s="195"/>
      <c r="R13" s="196"/>
      <c r="S13" s="191"/>
      <c r="T13" s="197"/>
      <c r="U13" s="198"/>
    </row>
    <row r="14" spans="1:21" hidden="1" outlineLevel="1" x14ac:dyDescent="0.25">
      <c r="A14" s="202"/>
      <c r="J14" s="203"/>
      <c r="K14" s="189"/>
      <c r="L14" s="190"/>
      <c r="M14" s="191"/>
      <c r="N14" s="192"/>
      <c r="O14" s="193"/>
      <c r="P14" s="194"/>
      <c r="Q14" s="195"/>
      <c r="R14" s="196"/>
      <c r="S14" s="191"/>
      <c r="T14" s="197"/>
      <c r="U14" s="198"/>
    </row>
    <row r="15" spans="1:21" hidden="1" outlineLevel="1" x14ac:dyDescent="0.25">
      <c r="A15" s="202"/>
      <c r="J15" s="203"/>
      <c r="K15" s="189"/>
      <c r="L15" s="190"/>
      <c r="M15" s="191"/>
      <c r="N15" s="192"/>
      <c r="O15" s="193"/>
      <c r="P15" s="194"/>
      <c r="Q15" s="195"/>
      <c r="R15" s="196"/>
      <c r="S15" s="191"/>
      <c r="T15" s="197"/>
      <c r="U15" s="198"/>
    </row>
    <row r="16" spans="1:21" hidden="1" outlineLevel="1" x14ac:dyDescent="0.25">
      <c r="A16" s="202"/>
      <c r="J16" s="203"/>
      <c r="K16" s="189"/>
      <c r="L16" s="190"/>
      <c r="M16" s="191"/>
      <c r="N16" s="192"/>
      <c r="O16" s="193"/>
      <c r="P16" s="194"/>
      <c r="Q16" s="195"/>
      <c r="R16" s="196"/>
      <c r="S16" s="191"/>
      <c r="T16" s="197"/>
      <c r="U16" s="198"/>
    </row>
    <row r="17" spans="1:21" hidden="1" outlineLevel="1" x14ac:dyDescent="0.25">
      <c r="A17" s="202"/>
      <c r="J17" s="203"/>
      <c r="K17" s="189"/>
      <c r="L17" s="190"/>
      <c r="M17" s="191"/>
      <c r="N17" s="192"/>
      <c r="O17" s="193"/>
      <c r="P17" s="194"/>
      <c r="Q17" s="195"/>
      <c r="R17" s="196"/>
      <c r="S17" s="191"/>
      <c r="T17" s="197"/>
      <c r="U17" s="198"/>
    </row>
    <row r="18" spans="1:21" hidden="1" outlineLevel="1" x14ac:dyDescent="0.25">
      <c r="A18" s="202"/>
      <c r="J18" s="203"/>
      <c r="K18" s="189"/>
      <c r="L18" s="190"/>
      <c r="M18" s="191"/>
      <c r="N18" s="192"/>
      <c r="O18" s="193"/>
      <c r="P18" s="194"/>
      <c r="Q18" s="195"/>
      <c r="R18" s="196"/>
      <c r="S18" s="191"/>
      <c r="T18" s="197"/>
      <c r="U18" s="198"/>
    </row>
    <row r="19" spans="1:21" hidden="1" outlineLevel="1" x14ac:dyDescent="0.25">
      <c r="A19" s="202"/>
      <c r="J19" s="203"/>
      <c r="K19" s="189"/>
      <c r="L19" s="190"/>
      <c r="M19" s="191"/>
      <c r="N19" s="192"/>
      <c r="O19" s="193"/>
      <c r="P19" s="194"/>
      <c r="Q19" s="195"/>
      <c r="R19" s="196"/>
      <c r="S19" s="191"/>
      <c r="T19" s="197"/>
      <c r="U19" s="198"/>
    </row>
    <row r="20" spans="1:21" hidden="1" outlineLevel="1" x14ac:dyDescent="0.25">
      <c r="A20" s="202"/>
      <c r="J20" s="203"/>
      <c r="K20" s="189"/>
      <c r="L20" s="190"/>
      <c r="M20" s="191"/>
      <c r="N20" s="192"/>
      <c r="O20" s="193"/>
      <c r="P20" s="194"/>
      <c r="Q20" s="195"/>
      <c r="R20" s="196"/>
      <c r="S20" s="191"/>
      <c r="T20" s="197"/>
      <c r="U20" s="198"/>
    </row>
    <row r="21" spans="1:21" hidden="1" outlineLevel="1" x14ac:dyDescent="0.25">
      <c r="A21" s="202"/>
      <c r="J21" s="203"/>
      <c r="K21" s="189"/>
      <c r="L21" s="190"/>
      <c r="M21" s="191"/>
      <c r="N21" s="192"/>
      <c r="O21" s="193"/>
      <c r="P21" s="194"/>
      <c r="Q21" s="195"/>
      <c r="R21" s="196"/>
      <c r="S21" s="191"/>
      <c r="T21" s="197"/>
      <c r="U21" s="198"/>
    </row>
    <row r="22" spans="1:21" hidden="1" outlineLevel="1" x14ac:dyDescent="0.25">
      <c r="A22" s="202"/>
      <c r="J22" s="203"/>
      <c r="K22" s="189"/>
      <c r="L22" s="190"/>
      <c r="M22" s="191"/>
      <c r="N22" s="192"/>
      <c r="O22" s="193"/>
      <c r="P22" s="194"/>
      <c r="Q22" s="195"/>
      <c r="R22" s="196"/>
      <c r="S22" s="191"/>
      <c r="T22" s="197"/>
      <c r="U22" s="198"/>
    </row>
    <row r="23" spans="1:21" ht="17.25" hidden="1" customHeight="1" outlineLevel="1" x14ac:dyDescent="0.25">
      <c r="A23" s="204"/>
      <c r="B23" s="205"/>
      <c r="C23" s="205"/>
      <c r="D23" s="205"/>
      <c r="E23" s="205"/>
      <c r="F23" s="205"/>
      <c r="G23" s="205"/>
      <c r="H23" s="205"/>
      <c r="I23" s="205"/>
      <c r="J23" s="206"/>
      <c r="K23" s="207">
        <f>SUM(K12:K22)</f>
        <v>0</v>
      </c>
      <c r="L23" s="208"/>
      <c r="M23" s="209"/>
      <c r="N23" s="210"/>
      <c r="O23" s="211"/>
      <c r="P23" s="207">
        <f>SUM(P12:P22)</f>
        <v>0</v>
      </c>
      <c r="Q23" s="212">
        <f>P23-H12</f>
        <v>0</v>
      </c>
      <c r="R23" s="213">
        <f>IF(H12=0,0,Q23/H12)</f>
        <v>0</v>
      </c>
      <c r="S23" s="214"/>
      <c r="T23" s="215"/>
      <c r="U23" s="216"/>
    </row>
    <row r="24" spans="1:21" ht="27.6" collapsed="1" x14ac:dyDescent="0.25">
      <c r="A24" s="166">
        <v>4.2</v>
      </c>
      <c r="B24" s="261" t="s">
        <v>260</v>
      </c>
      <c r="C24" s="261" t="s">
        <v>261</v>
      </c>
      <c r="D24" s="184">
        <v>1</v>
      </c>
      <c r="E24" s="183">
        <v>10000</v>
      </c>
      <c r="F24" s="183">
        <f>D24*E24</f>
        <v>10000</v>
      </c>
      <c r="G24" s="185"/>
      <c r="H24" s="186">
        <f>E24*G24</f>
        <v>0</v>
      </c>
      <c r="I24" s="187" t="str">
        <f>IF(G24&gt;D24,"נא להסביר חריגה","")</f>
        <v/>
      </c>
      <c r="J24" s="188"/>
      <c r="K24" s="189"/>
      <c r="L24" s="190"/>
      <c r="M24" s="191"/>
      <c r="N24" s="192"/>
      <c r="O24" s="193"/>
      <c r="P24" s="194"/>
      <c r="Q24" s="195"/>
      <c r="R24" s="196"/>
      <c r="S24" s="191"/>
      <c r="T24" s="197"/>
      <c r="U24" s="198"/>
    </row>
    <row r="25" spans="1:21" hidden="1" outlineLevel="1" x14ac:dyDescent="0.25">
      <c r="A25" s="199"/>
      <c r="B25" s="200"/>
      <c r="C25" s="200"/>
      <c r="D25" s="200"/>
      <c r="E25" s="200"/>
      <c r="F25" s="200"/>
      <c r="G25" s="200"/>
      <c r="H25" s="200"/>
      <c r="I25" s="200"/>
      <c r="J25" s="201"/>
      <c r="K25" s="189"/>
      <c r="L25" s="190"/>
      <c r="M25" s="191"/>
      <c r="N25" s="192"/>
      <c r="O25" s="193"/>
      <c r="P25" s="194"/>
      <c r="Q25" s="195"/>
      <c r="R25" s="196"/>
      <c r="S25" s="191"/>
      <c r="T25" s="197"/>
      <c r="U25" s="198"/>
    </row>
    <row r="26" spans="1:21" hidden="1" outlineLevel="1" x14ac:dyDescent="0.25">
      <c r="A26" s="202"/>
      <c r="J26" s="203"/>
      <c r="K26" s="189"/>
      <c r="L26" s="190"/>
      <c r="M26" s="191"/>
      <c r="N26" s="192"/>
      <c r="O26" s="193"/>
      <c r="P26" s="194"/>
      <c r="Q26" s="195"/>
      <c r="R26" s="196"/>
      <c r="S26" s="191"/>
      <c r="T26" s="197"/>
      <c r="U26" s="198"/>
    </row>
    <row r="27" spans="1:21" hidden="1" outlineLevel="1" x14ac:dyDescent="0.25">
      <c r="A27" s="202"/>
      <c r="J27" s="203"/>
      <c r="K27" s="189"/>
      <c r="L27" s="190"/>
      <c r="M27" s="191"/>
      <c r="N27" s="192"/>
      <c r="O27" s="193"/>
      <c r="P27" s="194"/>
      <c r="Q27" s="195"/>
      <c r="R27" s="196"/>
      <c r="S27" s="191"/>
      <c r="T27" s="197"/>
      <c r="U27" s="198"/>
    </row>
    <row r="28" spans="1:21" hidden="1" outlineLevel="1" x14ac:dyDescent="0.25">
      <c r="A28" s="202"/>
      <c r="J28" s="203"/>
      <c r="K28" s="189"/>
      <c r="L28" s="190"/>
      <c r="M28" s="191"/>
      <c r="N28" s="192"/>
      <c r="O28" s="193"/>
      <c r="P28" s="194"/>
      <c r="Q28" s="195"/>
      <c r="R28" s="196"/>
      <c r="S28" s="191"/>
      <c r="T28" s="197"/>
      <c r="U28" s="198"/>
    </row>
    <row r="29" spans="1:21" hidden="1" outlineLevel="1" x14ac:dyDescent="0.25">
      <c r="A29" s="202"/>
      <c r="J29" s="203"/>
      <c r="K29" s="189"/>
      <c r="L29" s="190"/>
      <c r="M29" s="191"/>
      <c r="N29" s="192"/>
      <c r="O29" s="193"/>
      <c r="P29" s="194"/>
      <c r="Q29" s="195"/>
      <c r="R29" s="196"/>
      <c r="S29" s="191"/>
      <c r="T29" s="197"/>
      <c r="U29" s="198"/>
    </row>
    <row r="30" spans="1:21" hidden="1" outlineLevel="1" x14ac:dyDescent="0.25">
      <c r="A30" s="202"/>
      <c r="J30" s="203"/>
      <c r="K30" s="189"/>
      <c r="L30" s="190"/>
      <c r="M30" s="191"/>
      <c r="N30" s="192"/>
      <c r="O30" s="193"/>
      <c r="P30" s="194"/>
      <c r="Q30" s="195"/>
      <c r="R30" s="196"/>
      <c r="S30" s="191"/>
      <c r="T30" s="197"/>
      <c r="U30" s="198"/>
    </row>
    <row r="31" spans="1:21" hidden="1" outlineLevel="1" x14ac:dyDescent="0.25">
      <c r="A31" s="202"/>
      <c r="J31" s="203"/>
      <c r="K31" s="189"/>
      <c r="L31" s="190"/>
      <c r="M31" s="191"/>
      <c r="N31" s="192"/>
      <c r="O31" s="193"/>
      <c r="P31" s="194"/>
      <c r="Q31" s="195"/>
      <c r="R31" s="196"/>
      <c r="S31" s="191"/>
      <c r="T31" s="197"/>
      <c r="U31" s="198"/>
    </row>
    <row r="32" spans="1:21" hidden="1" outlineLevel="1" x14ac:dyDescent="0.25">
      <c r="A32" s="202"/>
      <c r="J32" s="203"/>
      <c r="K32" s="189"/>
      <c r="L32" s="190"/>
      <c r="M32" s="191"/>
      <c r="N32" s="192"/>
      <c r="O32" s="193"/>
      <c r="P32" s="194"/>
      <c r="Q32" s="195"/>
      <c r="R32" s="196"/>
      <c r="S32" s="191"/>
      <c r="T32" s="197"/>
      <c r="U32" s="198"/>
    </row>
    <row r="33" spans="1:21" hidden="1" outlineLevel="1" x14ac:dyDescent="0.25">
      <c r="A33" s="202"/>
      <c r="J33" s="203"/>
      <c r="K33" s="189"/>
      <c r="L33" s="190"/>
      <c r="M33" s="191"/>
      <c r="N33" s="192"/>
      <c r="O33" s="193"/>
      <c r="P33" s="194"/>
      <c r="Q33" s="195"/>
      <c r="R33" s="196"/>
      <c r="S33" s="191"/>
      <c r="T33" s="197"/>
      <c r="U33" s="198"/>
    </row>
    <row r="34" spans="1:21" hidden="1" outlineLevel="1" x14ac:dyDescent="0.25">
      <c r="A34" s="202"/>
      <c r="J34" s="203"/>
      <c r="K34" s="189"/>
      <c r="L34" s="190"/>
      <c r="M34" s="191"/>
      <c r="N34" s="192"/>
      <c r="O34" s="193"/>
      <c r="P34" s="194"/>
      <c r="Q34" s="195"/>
      <c r="R34" s="196"/>
      <c r="S34" s="191"/>
      <c r="T34" s="197"/>
      <c r="U34" s="198"/>
    </row>
    <row r="35" spans="1:21" hidden="1" outlineLevel="1" x14ac:dyDescent="0.25">
      <c r="A35" s="204"/>
      <c r="B35" s="205"/>
      <c r="C35" s="205"/>
      <c r="D35" s="205"/>
      <c r="E35" s="205"/>
      <c r="F35" s="205"/>
      <c r="G35" s="205"/>
      <c r="H35" s="205"/>
      <c r="I35" s="205"/>
      <c r="J35" s="206"/>
      <c r="K35" s="207">
        <f>SUM(K24:K34)</f>
        <v>0</v>
      </c>
      <c r="L35" s="208"/>
      <c r="M35" s="209"/>
      <c r="N35" s="210"/>
      <c r="O35" s="211"/>
      <c r="P35" s="207">
        <f>SUM(P24:P34)</f>
        <v>0</v>
      </c>
      <c r="Q35" s="212">
        <f>P35-H24</f>
        <v>0</v>
      </c>
      <c r="R35" s="213">
        <f>IF(H24=0,0,Q35/H24)</f>
        <v>0</v>
      </c>
      <c r="S35" s="214"/>
      <c r="T35" s="215"/>
      <c r="U35" s="216"/>
    </row>
    <row r="36" spans="1:21" ht="27.6" collapsed="1" x14ac:dyDescent="0.25">
      <c r="A36" s="166">
        <v>4.3</v>
      </c>
      <c r="B36" s="261" t="s">
        <v>260</v>
      </c>
      <c r="C36" s="261" t="s">
        <v>261</v>
      </c>
      <c r="D36" s="184">
        <v>1</v>
      </c>
      <c r="E36" s="183">
        <v>10000</v>
      </c>
      <c r="F36" s="183">
        <f>D36*E36</f>
        <v>10000</v>
      </c>
      <c r="G36" s="185"/>
      <c r="H36" s="186">
        <f>E36*G36</f>
        <v>0</v>
      </c>
      <c r="I36" s="187" t="str">
        <f>IF(G36&gt;D36,"נא להסביר חריגה","")</f>
        <v/>
      </c>
      <c r="J36" s="188"/>
      <c r="K36" s="189"/>
      <c r="L36" s="190"/>
      <c r="M36" s="191"/>
      <c r="N36" s="192"/>
      <c r="O36" s="193"/>
      <c r="P36" s="194"/>
      <c r="Q36" s="195"/>
      <c r="R36" s="196"/>
      <c r="S36" s="191"/>
      <c r="T36" s="197"/>
      <c r="U36" s="198"/>
    </row>
    <row r="37" spans="1:21" hidden="1" outlineLevel="1" x14ac:dyDescent="0.25">
      <c r="A37" s="199"/>
      <c r="B37" s="200"/>
      <c r="C37" s="200"/>
      <c r="D37" s="200"/>
      <c r="E37" s="200"/>
      <c r="F37" s="200"/>
      <c r="G37" s="200"/>
      <c r="H37" s="200"/>
      <c r="I37" s="200"/>
      <c r="J37" s="201"/>
      <c r="K37" s="189"/>
      <c r="L37" s="190"/>
      <c r="M37" s="191"/>
      <c r="N37" s="192"/>
      <c r="O37" s="193"/>
      <c r="P37" s="194"/>
      <c r="Q37" s="195"/>
      <c r="R37" s="196"/>
      <c r="S37" s="191"/>
      <c r="T37" s="197"/>
      <c r="U37" s="198"/>
    </row>
    <row r="38" spans="1:21" hidden="1" outlineLevel="1" x14ac:dyDescent="0.25">
      <c r="A38" s="202"/>
      <c r="J38" s="203"/>
      <c r="K38" s="189"/>
      <c r="L38" s="190"/>
      <c r="M38" s="191"/>
      <c r="N38" s="192"/>
      <c r="O38" s="193"/>
      <c r="P38" s="194"/>
      <c r="Q38" s="195"/>
      <c r="R38" s="196"/>
      <c r="S38" s="191"/>
      <c r="T38" s="197"/>
      <c r="U38" s="198"/>
    </row>
    <row r="39" spans="1:21" hidden="1" outlineLevel="1" x14ac:dyDescent="0.25">
      <c r="A39" s="202"/>
      <c r="J39" s="203"/>
      <c r="K39" s="189"/>
      <c r="L39" s="190"/>
      <c r="M39" s="191"/>
      <c r="N39" s="192"/>
      <c r="O39" s="193"/>
      <c r="P39" s="194"/>
      <c r="Q39" s="195"/>
      <c r="R39" s="196"/>
      <c r="S39" s="191"/>
      <c r="T39" s="197"/>
      <c r="U39" s="198"/>
    </row>
    <row r="40" spans="1:21" hidden="1" outlineLevel="1" x14ac:dyDescent="0.25">
      <c r="A40" s="202"/>
      <c r="J40" s="203"/>
      <c r="K40" s="189"/>
      <c r="L40" s="190"/>
      <c r="M40" s="191"/>
      <c r="N40" s="192"/>
      <c r="O40" s="193"/>
      <c r="P40" s="194"/>
      <c r="Q40" s="195"/>
      <c r="R40" s="196"/>
      <c r="S40" s="191"/>
      <c r="T40" s="197"/>
      <c r="U40" s="198"/>
    </row>
    <row r="41" spans="1:21" hidden="1" outlineLevel="1" x14ac:dyDescent="0.25">
      <c r="A41" s="202"/>
      <c r="J41" s="203"/>
      <c r="K41" s="189"/>
      <c r="L41" s="190"/>
      <c r="M41" s="191"/>
      <c r="N41" s="192"/>
      <c r="O41" s="193"/>
      <c r="P41" s="194"/>
      <c r="Q41" s="195"/>
      <c r="R41" s="196"/>
      <c r="S41" s="191"/>
      <c r="T41" s="197"/>
      <c r="U41" s="198"/>
    </row>
    <row r="42" spans="1:21" hidden="1" outlineLevel="1" x14ac:dyDescent="0.25">
      <c r="A42" s="202"/>
      <c r="J42" s="203"/>
      <c r="K42" s="189"/>
      <c r="L42" s="190"/>
      <c r="M42" s="191"/>
      <c r="N42" s="192"/>
      <c r="O42" s="193"/>
      <c r="P42" s="194"/>
      <c r="Q42" s="195"/>
      <c r="R42" s="196"/>
      <c r="S42" s="191"/>
      <c r="T42" s="197"/>
      <c r="U42" s="198"/>
    </row>
    <row r="43" spans="1:21" hidden="1" outlineLevel="1" x14ac:dyDescent="0.25">
      <c r="A43" s="202"/>
      <c r="J43" s="203"/>
      <c r="K43" s="189"/>
      <c r="L43" s="190"/>
      <c r="M43" s="191"/>
      <c r="N43" s="192"/>
      <c r="O43" s="193"/>
      <c r="P43" s="194"/>
      <c r="Q43" s="195"/>
      <c r="R43" s="196"/>
      <c r="S43" s="191"/>
      <c r="T43" s="197"/>
      <c r="U43" s="198"/>
    </row>
    <row r="44" spans="1:21" hidden="1" outlineLevel="1" x14ac:dyDescent="0.25">
      <c r="A44" s="202"/>
      <c r="J44" s="203"/>
      <c r="K44" s="189"/>
      <c r="L44" s="190"/>
      <c r="M44" s="191"/>
      <c r="N44" s="192"/>
      <c r="O44" s="193"/>
      <c r="P44" s="194"/>
      <c r="Q44" s="195"/>
      <c r="R44" s="196"/>
      <c r="S44" s="191"/>
      <c r="T44" s="197"/>
      <c r="U44" s="198"/>
    </row>
    <row r="45" spans="1:21" hidden="1" outlineLevel="1" x14ac:dyDescent="0.25">
      <c r="A45" s="202"/>
      <c r="J45" s="203"/>
      <c r="K45" s="189"/>
      <c r="L45" s="190"/>
      <c r="M45" s="191"/>
      <c r="N45" s="192"/>
      <c r="O45" s="193"/>
      <c r="P45" s="194"/>
      <c r="Q45" s="195"/>
      <c r="R45" s="196"/>
      <c r="S45" s="191"/>
      <c r="T45" s="197"/>
      <c r="U45" s="198"/>
    </row>
    <row r="46" spans="1:21" hidden="1" outlineLevel="1" x14ac:dyDescent="0.25">
      <c r="A46" s="202"/>
      <c r="J46" s="203"/>
      <c r="K46" s="189"/>
      <c r="L46" s="190"/>
      <c r="M46" s="191"/>
      <c r="N46" s="192"/>
      <c r="O46" s="193"/>
      <c r="P46" s="194"/>
      <c r="Q46" s="195"/>
      <c r="R46" s="196"/>
      <c r="S46" s="191"/>
      <c r="T46" s="197"/>
      <c r="U46" s="198"/>
    </row>
    <row r="47" spans="1:21" hidden="1" outlineLevel="1" x14ac:dyDescent="0.25">
      <c r="A47" s="204"/>
      <c r="B47" s="205"/>
      <c r="C47" s="205"/>
      <c r="D47" s="205"/>
      <c r="E47" s="205"/>
      <c r="F47" s="205"/>
      <c r="G47" s="205"/>
      <c r="H47" s="205"/>
      <c r="I47" s="205"/>
      <c r="J47" s="206"/>
      <c r="K47" s="207">
        <f>SUM(K36:K46)</f>
        <v>0</v>
      </c>
      <c r="L47" s="208"/>
      <c r="M47" s="209"/>
      <c r="N47" s="210"/>
      <c r="O47" s="211"/>
      <c r="P47" s="207">
        <f>SUM(P36:P46)</f>
        <v>0</v>
      </c>
      <c r="Q47" s="212">
        <f>P47-H36</f>
        <v>0</v>
      </c>
      <c r="R47" s="213">
        <f>IF(H36=0,0,Q47/H36)</f>
        <v>0</v>
      </c>
      <c r="S47" s="214"/>
      <c r="T47" s="215"/>
      <c r="U47" s="216"/>
    </row>
    <row r="48" spans="1:21" collapsed="1" x14ac:dyDescent="0.25">
      <c r="A48" s="217" t="s">
        <v>35</v>
      </c>
      <c r="B48" s="218" t="str">
        <f>B6</f>
        <v>ציוד תעסוקה / סדנאות</v>
      </c>
      <c r="C48" s="218"/>
      <c r="D48" s="219"/>
      <c r="E48" s="220"/>
      <c r="F48" s="220"/>
      <c r="G48" s="220"/>
      <c r="H48" s="220"/>
      <c r="I48" s="220"/>
      <c r="J48" s="220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1"/>
    </row>
    <row r="49" spans="1:21" ht="69" customHeight="1" x14ac:dyDescent="0.25">
      <c r="A49" s="171"/>
      <c r="B49" s="222" t="str">
        <f>B6</f>
        <v>ציוד תעסוקה / סדנאות</v>
      </c>
      <c r="C49" s="222"/>
      <c r="D49" s="223"/>
      <c r="E49" s="224"/>
      <c r="F49" s="225" t="s">
        <v>196</v>
      </c>
      <c r="G49" s="226"/>
      <c r="H49" s="227" t="s">
        <v>106</v>
      </c>
      <c r="I49" s="228"/>
      <c r="J49" s="229"/>
      <c r="K49" s="177" t="s">
        <v>106</v>
      </c>
      <c r="L49" s="230"/>
      <c r="M49" s="226"/>
      <c r="N49" s="226"/>
      <c r="O49" s="226"/>
      <c r="P49" s="180" t="s">
        <v>171</v>
      </c>
      <c r="Q49" s="180" t="s">
        <v>197</v>
      </c>
      <c r="R49" s="179" t="s">
        <v>30</v>
      </c>
      <c r="S49" s="222"/>
      <c r="T49" s="231"/>
      <c r="U49" s="232"/>
    </row>
    <row r="50" spans="1:21" s="247" customFormat="1" x14ac:dyDescent="0.25">
      <c r="A50" s="233"/>
      <c r="B50" s="234" t="s">
        <v>198</v>
      </c>
      <c r="C50" s="234"/>
      <c r="D50" s="235"/>
      <c r="E50" s="236"/>
      <c r="F50" s="237">
        <f>F12+F24+F36</f>
        <v>50000</v>
      </c>
      <c r="G50" s="238"/>
      <c r="H50" s="237">
        <f>IF(H12+H24+H36&gt;J9,J9,H12+H24+H36)</f>
        <v>0</v>
      </c>
      <c r="I50" s="238"/>
      <c r="J50" s="236"/>
      <c r="K50" s="237">
        <f>K23+K35+K47</f>
        <v>0</v>
      </c>
      <c r="L50" s="239"/>
      <c r="M50" s="240"/>
      <c r="N50" s="241"/>
      <c r="O50" s="242"/>
      <c r="P50" s="237">
        <f>P23+P35+P47</f>
        <v>0</v>
      </c>
      <c r="Q50" s="212">
        <f>P50-H50</f>
        <v>0</v>
      </c>
      <c r="R50" s="243">
        <f>IF(H50=0,0,Q50/H50)</f>
        <v>0</v>
      </c>
      <c r="S50" s="244"/>
      <c r="T50" s="245"/>
      <c r="U50" s="246"/>
    </row>
    <row r="51" spans="1:21" ht="17.399999999999999" x14ac:dyDescent="0.3">
      <c r="A51" s="248" t="s">
        <v>40</v>
      </c>
      <c r="B51" s="165" t="s">
        <v>117</v>
      </c>
      <c r="C51" s="165"/>
      <c r="H51" s="341" t="str">
        <f>IF(H12+H24+H35&gt;J9,"בקשה חורגת","")</f>
        <v/>
      </c>
    </row>
    <row r="52" spans="1:21" x14ac:dyDescent="0.25">
      <c r="A52" s="248"/>
      <c r="B52" s="165" t="s">
        <v>199</v>
      </c>
      <c r="C52" s="165"/>
    </row>
    <row r="53" spans="1:21" x14ac:dyDescent="0.25">
      <c r="A53" s="248"/>
      <c r="B53" s="165" t="s">
        <v>193</v>
      </c>
      <c r="C53" s="165"/>
    </row>
  </sheetData>
  <sheetProtection algorithmName="SHA-512" hashValue="QMmOqNlsNpiZDT3td5DKJ6eBUSeq0uC3O3DUfaqadH9Aymddm3FzHreX/xZru0jUXfGn7edPSA7zkpxvCL/a/A==" saltValue="ZKMFzGm+GapmVrvhBsJ8zA==" spinCount="100000" sheet="1" formatCells="0" formatColumns="0" formatRows="0"/>
  <conditionalFormatting sqref="I12">
    <cfRule type="cellIs" dxfId="27" priority="10" operator="equal">
      <formula>"נא להסביר חריגה"</formula>
    </cfRule>
    <cfRule type="cellIs" dxfId="26" priority="11" operator="equal">
      <formula>"נא להסביר חריגה"</formula>
    </cfRule>
  </conditionalFormatting>
  <conditionalFormatting sqref="I24">
    <cfRule type="cellIs" dxfId="25" priority="7" operator="equal">
      <formula>"נא להסביר חריגה"</formula>
    </cfRule>
    <cfRule type="cellIs" dxfId="24" priority="8" operator="equal">
      <formula>"נא להסביר חריגה"</formula>
    </cfRule>
  </conditionalFormatting>
  <conditionalFormatting sqref="I36">
    <cfRule type="cellIs" dxfId="23" priority="3" operator="equal">
      <formula>"נא להסביר חריגה"</formula>
    </cfRule>
    <cfRule type="cellIs" dxfId="22" priority="4" operator="equal">
      <formula>"נא להסביר חריגה"</formula>
    </cfRule>
  </conditionalFormatting>
  <conditionalFormatting sqref="I12:J12">
    <cfRule type="containsText" dxfId="21" priority="12" operator="containsText" text="נא להסביר חריגה כאן">
      <formula>NOT(ISERROR(SEARCH("נא להסביר חריגה כאן",I12)))</formula>
    </cfRule>
  </conditionalFormatting>
  <conditionalFormatting sqref="I24:J24">
    <cfRule type="containsText" dxfId="20" priority="9" operator="containsText" text="נא להסביר חריגה כאן">
      <formula>NOT(ISERROR(SEARCH("נא להסביר חריגה כאן",I24)))</formula>
    </cfRule>
  </conditionalFormatting>
  <conditionalFormatting sqref="I36:J36">
    <cfRule type="containsText" dxfId="19" priority="5" operator="containsText" text="נא להסביר חריגה כאן">
      <formula>NOT(ISERROR(SEARCH("נא להסביר חריגה כאן",I36)))</formula>
    </cfRule>
  </conditionalFormatting>
  <conditionalFormatting sqref="K12:K22">
    <cfRule type="containsText" dxfId="18" priority="16" operator="containsText" text="נא להסביר חריגה כאן">
      <formula>NOT(ISERROR(SEARCH("נא להסביר חריגה כאן",K12)))</formula>
    </cfRule>
  </conditionalFormatting>
  <conditionalFormatting sqref="K24:K34">
    <cfRule type="containsText" dxfId="17" priority="15" operator="containsText" text="נא להסביר חריגה כאן">
      <formula>NOT(ISERROR(SEARCH("נא להסביר חריגה כאן",K24)))</formula>
    </cfRule>
  </conditionalFormatting>
  <conditionalFormatting sqref="K36:K46">
    <cfRule type="containsText" dxfId="16" priority="6" operator="containsText" text="נא להסביר חריגה כאן">
      <formula>NOT(ISERROR(SEARCH("נא להסביר חריגה כאן",K36)))</formula>
    </cfRule>
  </conditionalFormatting>
  <conditionalFormatting sqref="Q12:R47">
    <cfRule type="cellIs" dxfId="15" priority="14" operator="greaterThan">
      <formula>0</formula>
    </cfRule>
  </conditionalFormatting>
  <conditionalFormatting sqref="Q50:S50">
    <cfRule type="cellIs" dxfId="14" priority="1" operator="greaterThan">
      <formula>0</formula>
    </cfRule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5"/>
  <sheetViews>
    <sheetView rightToLeft="1" topLeftCell="A10" zoomScale="80" zoomScaleNormal="80" workbookViewId="0">
      <selection activeCell="G15" sqref="G15:G28"/>
    </sheetView>
  </sheetViews>
  <sheetFormatPr defaultColWidth="9" defaultRowHeight="13.8" outlineLevelCol="1" x14ac:dyDescent="0.25"/>
  <cols>
    <col min="1" max="1" width="5.109375" style="31" customWidth="1"/>
    <col min="2" max="2" width="26.88671875" style="31" customWidth="1"/>
    <col min="3" max="3" width="34.109375" style="31" customWidth="1"/>
    <col min="4" max="4" width="10.44140625" style="31" customWidth="1"/>
    <col min="5" max="5" width="12.88671875" style="31" customWidth="1"/>
    <col min="6" max="6" width="11.88671875" style="31" customWidth="1"/>
    <col min="7" max="7" width="13.6640625" style="31" customWidth="1"/>
    <col min="8" max="8" width="10.109375" style="31" bestFit="1" customWidth="1"/>
    <col min="9" max="9" width="14" style="31" customWidth="1"/>
    <col min="10" max="10" width="20.77734375" style="31" customWidth="1"/>
    <col min="11" max="11" width="9.77734375" style="31" hidden="1" customWidth="1" outlineLevel="1"/>
    <col min="12" max="14" width="9" style="31" hidden="1" customWidth="1" outlineLevel="1"/>
    <col min="15" max="15" width="10.109375" style="31" hidden="1" customWidth="1" outlineLevel="1"/>
    <col min="16" max="16" width="14" style="31" hidden="1" customWidth="1" outlineLevel="1"/>
    <col min="17" max="17" width="12.77734375" style="31" hidden="1" customWidth="1" outlineLevel="1"/>
    <col min="18" max="18" width="9" style="31" hidden="1" customWidth="1" outlineLevel="1"/>
    <col min="19" max="19" width="12.88671875" style="31" hidden="1" customWidth="1" outlineLevel="1"/>
    <col min="20" max="21" width="9" style="31" hidden="1" customWidth="1" outlineLevel="1"/>
    <col min="22" max="22" width="9" style="31" collapsed="1"/>
    <col min="23" max="16384" width="9" style="31"/>
  </cols>
  <sheetData>
    <row r="1" spans="1:21" x14ac:dyDescent="0.25">
      <c r="A1" s="13"/>
      <c r="B1" s="2" t="str">
        <f>'שאלון למילוי הבקשה - חובה'!B1</f>
        <v>תקן ציוד כללי בסיסי למרכזי פעילות יומית לאנשים עם מוגבלות- מרחבים: גירסת- 1.9.2026</v>
      </c>
      <c r="C1" s="6"/>
      <c r="D1" s="13"/>
    </row>
    <row r="2" spans="1:21" ht="15" customHeight="1" x14ac:dyDescent="0.3">
      <c r="A2" s="34"/>
      <c r="B2" s="7" t="str">
        <f>'שאלון למילוי הבקשה - חובה'!$C$7</f>
        <v>שם הגוף המבקש:</v>
      </c>
      <c r="C2" s="7"/>
      <c r="D2" s="340">
        <f>'שאלון למילוי הבקשה - חובה'!$D$7</f>
        <v>0</v>
      </c>
    </row>
    <row r="3" spans="1:21" ht="15" customHeight="1" x14ac:dyDescent="0.3">
      <c r="A3" s="34"/>
      <c r="B3" s="7" t="str">
        <f>'שאלון למילוי הבקשה - חובה'!$C$18</f>
        <v>שם המסגרת:</v>
      </c>
      <c r="C3" s="7"/>
      <c r="D3" s="340">
        <f>'שאלון למילוי הבקשה - חובה'!$D$18</f>
        <v>0</v>
      </c>
    </row>
    <row r="4" spans="1:21" ht="15" customHeight="1" x14ac:dyDescent="0.25">
      <c r="A4" s="34"/>
      <c r="B4" s="7" t="str">
        <f>'שאלון למילוי הבקשה - חובה'!$C$33</f>
        <v>מספר האנשים שעבורם מיועד הפרויקט (בין 20 ל-25):</v>
      </c>
      <c r="C4" s="7"/>
      <c r="D4" s="7">
        <f>'שאלון למילוי הבקשה - חובה'!$D$33</f>
        <v>0</v>
      </c>
      <c r="E4" s="117" t="str">
        <f>IF(D4&lt;20,"מספר האנשים בין 20 ל 25",IF(D4&gt;25,"מספר האנשים בין 20 ל 25",""))</f>
        <v>מספר האנשים בין 20 ל 25</v>
      </c>
    </row>
    <row r="5" spans="1:21" ht="15" customHeight="1" x14ac:dyDescent="0.25">
      <c r="A5" s="34"/>
      <c r="B5" s="7" t="str">
        <f>'שאלון למילוי הבקשה - חובה'!$C$35</f>
        <v>מספר חדרי קבוצות כולל חדרי פעילות וסדנאות:</v>
      </c>
      <c r="C5" s="7"/>
      <c r="D5" s="7">
        <f>'שאלון למילוי הבקשה - חובה'!$D$35</f>
        <v>0</v>
      </c>
    </row>
    <row r="6" spans="1:21" ht="15" customHeight="1" x14ac:dyDescent="0.25">
      <c r="A6" s="34"/>
      <c r="B6" s="34" t="s">
        <v>222</v>
      </c>
      <c r="C6" s="34"/>
      <c r="D6" s="7"/>
    </row>
    <row r="7" spans="1:21" x14ac:dyDescent="0.25">
      <c r="A7" s="34"/>
      <c r="B7" s="7" t="str">
        <f>'ציוד לחדרי קבוצות'!B7</f>
        <v>כמויות התקן משתנות בהתאם  למספר האנשים במסגרת ומספר חדרי קבוצות.</v>
      </c>
      <c r="C7" s="7"/>
    </row>
    <row r="8" spans="1:21" x14ac:dyDescent="0.25">
      <c r="B8" s="303" t="str">
        <f>'ציוד לחדרי קבוצות'!B8</f>
        <v>מבקש  הציוד  מתבקש למלא  רק  את  התאים  הממורקרים בצהוב.</v>
      </c>
      <c r="C8" s="303"/>
    </row>
    <row r="9" spans="1:21" x14ac:dyDescent="0.25">
      <c r="B9" s="7" t="str">
        <f>'ציוד לחדרי קבוצות'!B9</f>
        <v xml:space="preserve">כל  המחירים והעלויות להלן  נקובים  בש"ח  וכוללים  מע"מ  </v>
      </c>
      <c r="C9" s="7"/>
    </row>
    <row r="10" spans="1:21" s="67" customFormat="1" ht="17.25" customHeight="1" x14ac:dyDescent="0.25">
      <c r="A10" s="31">
        <v>3</v>
      </c>
      <c r="B10" s="11" t="s">
        <v>51</v>
      </c>
      <c r="C10" s="11"/>
      <c r="D10" s="5"/>
      <c r="E10" s="11"/>
      <c r="F10" s="11"/>
      <c r="G10" s="11"/>
      <c r="H10" s="11"/>
      <c r="I10" s="11"/>
      <c r="J10" s="11"/>
    </row>
    <row r="11" spans="1:21" ht="15" customHeight="1" x14ac:dyDescent="0.25">
      <c r="A11" s="42">
        <v>3</v>
      </c>
      <c r="B11" s="123" t="s">
        <v>131</v>
      </c>
      <c r="C11" s="160"/>
      <c r="D11" s="37"/>
      <c r="E11" s="37"/>
      <c r="F11" s="38"/>
      <c r="G11" s="39" t="s">
        <v>132</v>
      </c>
      <c r="H11" s="37"/>
      <c r="I11" s="37"/>
      <c r="J11" s="38"/>
      <c r="K11" s="257" t="s">
        <v>165</v>
      </c>
      <c r="L11" s="258"/>
      <c r="M11" s="258" t="s">
        <v>166</v>
      </c>
      <c r="N11" s="258"/>
      <c r="O11" s="258"/>
      <c r="P11" s="258"/>
      <c r="Q11" s="258"/>
      <c r="R11" s="258"/>
      <c r="S11" s="258"/>
      <c r="T11" s="258"/>
      <c r="U11" s="259"/>
    </row>
    <row r="12" spans="1:21" ht="69" customHeight="1" x14ac:dyDescent="0.25">
      <c r="A12" s="40" t="s">
        <v>101</v>
      </c>
      <c r="B12" s="40" t="s">
        <v>133</v>
      </c>
      <c r="C12" s="40" t="s">
        <v>31</v>
      </c>
      <c r="D12" s="40" t="s">
        <v>27</v>
      </c>
      <c r="E12" s="40" t="s">
        <v>102</v>
      </c>
      <c r="F12" s="40" t="s">
        <v>103</v>
      </c>
      <c r="G12" s="40" t="s">
        <v>28</v>
      </c>
      <c r="H12" s="40" t="s">
        <v>104</v>
      </c>
      <c r="I12" s="40" t="s">
        <v>29</v>
      </c>
      <c r="J12" s="40" t="s">
        <v>105</v>
      </c>
      <c r="K12" s="262" t="s">
        <v>106</v>
      </c>
      <c r="L12" s="263" t="s">
        <v>167</v>
      </c>
      <c r="M12" s="264" t="s">
        <v>168</v>
      </c>
      <c r="N12" s="264" t="s">
        <v>169</v>
      </c>
      <c r="O12" s="264" t="s">
        <v>170</v>
      </c>
      <c r="P12" s="265" t="s">
        <v>171</v>
      </c>
      <c r="Q12" s="265" t="s">
        <v>172</v>
      </c>
      <c r="R12" s="264" t="s">
        <v>30</v>
      </c>
      <c r="S12" s="264" t="s">
        <v>173</v>
      </c>
      <c r="T12" s="266" t="s">
        <v>174</v>
      </c>
      <c r="U12" s="267" t="s">
        <v>175</v>
      </c>
    </row>
    <row r="13" spans="1:21" x14ac:dyDescent="0.25">
      <c r="A13" s="42">
        <v>1</v>
      </c>
      <c r="B13" s="40" t="s">
        <v>181</v>
      </c>
      <c r="C13" s="161"/>
      <c r="D13" s="44">
        <v>1</v>
      </c>
      <c r="E13" s="43">
        <f>IF('שאלון למילוי הבקשה - חובה'!$D$33&lt;31,6000,IF('שאלון למילוי הבקשה - חובה'!$D$33&lt;61,8000,15000))</f>
        <v>6000</v>
      </c>
      <c r="F13" s="45">
        <f t="shared" ref="F13:F34" si="0">D13*E13</f>
        <v>6000</v>
      </c>
      <c r="G13" s="273"/>
      <c r="H13" s="274">
        <f t="shared" ref="H13:H34" si="1">E13*G13</f>
        <v>0</v>
      </c>
      <c r="I13" s="187" t="str">
        <f t="shared" ref="I13:I34" si="2">IF(G13&gt;D13,"נא להסביר חריגה","")</f>
        <v/>
      </c>
      <c r="J13" s="275"/>
      <c r="K13" s="276"/>
      <c r="L13" s="277"/>
      <c r="M13" s="278"/>
      <c r="N13" s="279"/>
      <c r="O13" s="280"/>
      <c r="P13" s="281"/>
      <c r="Q13" s="272">
        <f>IF(P13="",0,P13-H13)</f>
        <v>0</v>
      </c>
      <c r="R13" s="282">
        <f>IF(H13=0,0,Q13/H13)</f>
        <v>0</v>
      </c>
      <c r="S13" s="278"/>
      <c r="T13" s="266"/>
      <c r="U13" s="283"/>
    </row>
    <row r="14" spans="1:21" x14ac:dyDescent="0.25">
      <c r="A14" s="42">
        <v>2</v>
      </c>
      <c r="B14" s="40" t="s">
        <v>182</v>
      </c>
      <c r="C14" s="161"/>
      <c r="D14" s="44">
        <v>1</v>
      </c>
      <c r="E14" s="43">
        <f>IF('שאלון למילוי הבקשה - חובה'!$D$33&lt;31,6000,IF('שאלון למילוי הבקשה - חובה'!$D$33&lt;61,8000,15000))</f>
        <v>6000</v>
      </c>
      <c r="F14" s="45">
        <f t="shared" si="0"/>
        <v>6000</v>
      </c>
      <c r="G14" s="273"/>
      <c r="H14" s="274">
        <f t="shared" si="1"/>
        <v>0</v>
      </c>
      <c r="I14" s="187" t="str">
        <f t="shared" si="2"/>
        <v/>
      </c>
      <c r="J14" s="275"/>
      <c r="K14" s="276"/>
      <c r="L14" s="277"/>
      <c r="M14" s="278"/>
      <c r="N14" s="279"/>
      <c r="O14" s="280"/>
      <c r="P14" s="281"/>
      <c r="Q14" s="272">
        <f t="shared" ref="Q14:Q34" si="3">IF(P14="",0,P14-H14)</f>
        <v>0</v>
      </c>
      <c r="R14" s="282">
        <f t="shared" ref="R14:R35" si="4">IF(H14=0,0,Q14/H14)</f>
        <v>0</v>
      </c>
      <c r="S14" s="278"/>
      <c r="T14" s="266"/>
      <c r="U14" s="283"/>
    </row>
    <row r="15" spans="1:21" x14ac:dyDescent="0.25">
      <c r="A15" s="42">
        <v>3</v>
      </c>
      <c r="B15" s="40" t="s">
        <v>268</v>
      </c>
      <c r="C15" s="161"/>
      <c r="D15" s="44">
        <v>1</v>
      </c>
      <c r="E15" s="43">
        <f>IF('שאלון למילוי הבקשה - חובה'!$D$33&lt;31,20000,IF('שאלון למילוי הבקשה - חובה'!$D$33&lt;61,30000,40000))</f>
        <v>20000</v>
      </c>
      <c r="F15" s="45">
        <f t="shared" si="0"/>
        <v>20000</v>
      </c>
      <c r="G15" s="273"/>
      <c r="H15" s="274">
        <f t="shared" si="1"/>
        <v>0</v>
      </c>
      <c r="I15" s="187" t="str">
        <f t="shared" si="2"/>
        <v/>
      </c>
      <c r="J15" s="275"/>
      <c r="K15" s="276"/>
      <c r="L15" s="277"/>
      <c r="M15" s="278"/>
      <c r="N15" s="279"/>
      <c r="O15" s="280"/>
      <c r="P15" s="281"/>
      <c r="Q15" s="272">
        <f t="shared" si="3"/>
        <v>0</v>
      </c>
      <c r="R15" s="282">
        <f t="shared" si="4"/>
        <v>0</v>
      </c>
      <c r="S15" s="278"/>
      <c r="T15" s="266"/>
      <c r="U15" s="283"/>
    </row>
    <row r="16" spans="1:21" x14ac:dyDescent="0.25">
      <c r="A16" s="42">
        <v>4</v>
      </c>
      <c r="B16" s="40" t="s">
        <v>269</v>
      </c>
      <c r="C16" s="161"/>
      <c r="D16" s="44">
        <v>1</v>
      </c>
      <c r="E16" s="43">
        <f>IF('שאלון למילוי הבקשה - חובה'!$D$33&lt;31,12000,IF('שאלון למילוי הבקשה - חובה'!$D$33&lt;61,18000,24000))</f>
        <v>12000</v>
      </c>
      <c r="F16" s="45">
        <f t="shared" ref="F16" si="5">D16*E16</f>
        <v>12000</v>
      </c>
      <c r="G16" s="273"/>
      <c r="H16" s="274">
        <f t="shared" ref="H16" si="6">E16*G16</f>
        <v>0</v>
      </c>
      <c r="I16" s="187" t="str">
        <f t="shared" ref="I16" si="7">IF(G16&gt;D16,"נא להסביר חריגה","")</f>
        <v/>
      </c>
      <c r="J16" s="275"/>
      <c r="K16" s="276"/>
      <c r="L16" s="277"/>
      <c r="M16" s="278"/>
      <c r="N16" s="279"/>
      <c r="O16" s="280"/>
      <c r="P16" s="281"/>
      <c r="Q16" s="272">
        <f t="shared" ref="Q16" si="8">IF(P16="",0,P16-H16)</f>
        <v>0</v>
      </c>
      <c r="R16" s="282">
        <f t="shared" ref="R16" si="9">IF(H16=0,0,Q16/H16)</f>
        <v>0</v>
      </c>
      <c r="S16" s="278"/>
      <c r="T16" s="266"/>
      <c r="U16" s="283"/>
    </row>
    <row r="17" spans="1:21" x14ac:dyDescent="0.25">
      <c r="A17" s="42">
        <v>5</v>
      </c>
      <c r="B17" s="40" t="s">
        <v>183</v>
      </c>
      <c r="C17" s="161"/>
      <c r="D17" s="44">
        <v>1</v>
      </c>
      <c r="E17" s="43">
        <f>IF('שאלון למילוי הבקשה - חובה'!$D$33&lt;31,12000,IF('שאלון למילוי הבקשה - חובה'!$D$33&lt;61,15000,25000))</f>
        <v>12000</v>
      </c>
      <c r="F17" s="45">
        <f t="shared" si="0"/>
        <v>12000</v>
      </c>
      <c r="G17" s="273"/>
      <c r="H17" s="274">
        <f t="shared" si="1"/>
        <v>0</v>
      </c>
      <c r="I17" s="187" t="str">
        <f t="shared" si="2"/>
        <v/>
      </c>
      <c r="J17" s="275"/>
      <c r="K17" s="276"/>
      <c r="L17" s="277"/>
      <c r="M17" s="278"/>
      <c r="N17" s="279"/>
      <c r="O17" s="280"/>
      <c r="P17" s="281"/>
      <c r="Q17" s="272">
        <f t="shared" si="3"/>
        <v>0</v>
      </c>
      <c r="R17" s="282">
        <f t="shared" si="4"/>
        <v>0</v>
      </c>
      <c r="S17" s="278"/>
      <c r="T17" s="266"/>
      <c r="U17" s="283"/>
    </row>
    <row r="18" spans="1:21" x14ac:dyDescent="0.25">
      <c r="A18" s="42">
        <v>6</v>
      </c>
      <c r="B18" s="40" t="s">
        <v>52</v>
      </c>
      <c r="C18" s="40"/>
      <c r="D18" s="44">
        <v>1</v>
      </c>
      <c r="E18" s="44">
        <v>5000</v>
      </c>
      <c r="F18" s="45">
        <f t="shared" si="0"/>
        <v>5000</v>
      </c>
      <c r="G18" s="273"/>
      <c r="H18" s="274">
        <f t="shared" si="1"/>
        <v>0</v>
      </c>
      <c r="I18" s="187" t="str">
        <f t="shared" si="2"/>
        <v/>
      </c>
      <c r="J18" s="275"/>
      <c r="K18" s="276"/>
      <c r="L18" s="277"/>
      <c r="M18" s="278"/>
      <c r="N18" s="279"/>
      <c r="O18" s="280"/>
      <c r="P18" s="281"/>
      <c r="Q18" s="272">
        <f t="shared" si="3"/>
        <v>0</v>
      </c>
      <c r="R18" s="282">
        <f t="shared" si="4"/>
        <v>0</v>
      </c>
      <c r="S18" s="278"/>
      <c r="T18" s="266"/>
      <c r="U18" s="283"/>
    </row>
    <row r="19" spans="1:21" x14ac:dyDescent="0.25">
      <c r="A19" s="42">
        <v>7</v>
      </c>
      <c r="B19" s="40" t="s">
        <v>270</v>
      </c>
      <c r="C19" s="161"/>
      <c r="D19" s="44">
        <v>1</v>
      </c>
      <c r="E19" s="43">
        <f>IF('שאלון למילוי הבקשה - חובה'!$D$33&lt;31,15000,IF('שאלון למילוי הבקשה - חובה'!$D$33&lt;61,20000,30000))</f>
        <v>15000</v>
      </c>
      <c r="F19" s="45">
        <f t="shared" si="0"/>
        <v>15000</v>
      </c>
      <c r="G19" s="273"/>
      <c r="H19" s="274">
        <f t="shared" si="1"/>
        <v>0</v>
      </c>
      <c r="I19" s="187" t="str">
        <f t="shared" si="2"/>
        <v/>
      </c>
      <c r="J19" s="275"/>
      <c r="K19" s="276"/>
      <c r="L19" s="277"/>
      <c r="M19" s="278"/>
      <c r="N19" s="279"/>
      <c r="O19" s="280"/>
      <c r="P19" s="281"/>
      <c r="Q19" s="272">
        <f t="shared" si="3"/>
        <v>0</v>
      </c>
      <c r="R19" s="282">
        <f t="shared" si="4"/>
        <v>0</v>
      </c>
      <c r="S19" s="278"/>
      <c r="T19" s="266"/>
      <c r="U19" s="283"/>
    </row>
    <row r="20" spans="1:21" x14ac:dyDescent="0.25">
      <c r="A20" s="42">
        <v>8</v>
      </c>
      <c r="B20" s="261" t="s">
        <v>281</v>
      </c>
      <c r="C20" s="176"/>
      <c r="D20" s="348">
        <v>1</v>
      </c>
      <c r="E20" s="349">
        <v>6000</v>
      </c>
      <c r="F20" s="45">
        <f t="shared" ref="F20:F24" si="10">D20*E20</f>
        <v>6000</v>
      </c>
      <c r="G20" s="273"/>
      <c r="H20" s="274">
        <f t="shared" ref="H20:H24" si="11">E20*G20</f>
        <v>0</v>
      </c>
      <c r="I20" s="187" t="str">
        <f t="shared" ref="I20:I24" si="12">IF(G20&gt;D20,"נא להסביר חריגה","")</f>
        <v/>
      </c>
      <c r="J20" s="275"/>
      <c r="K20" s="276"/>
      <c r="L20" s="277"/>
      <c r="M20" s="278"/>
      <c r="N20" s="279"/>
      <c r="O20" s="280"/>
      <c r="P20" s="281"/>
      <c r="Q20" s="272">
        <f t="shared" ref="Q20:Q24" si="13">IF(P20="",0,P20-H20)</f>
        <v>0</v>
      </c>
      <c r="R20" s="282">
        <f t="shared" ref="R20:R24" si="14">IF(H20=0,0,Q20/H20)</f>
        <v>0</v>
      </c>
      <c r="S20" s="278"/>
      <c r="T20" s="266"/>
      <c r="U20" s="283"/>
    </row>
    <row r="21" spans="1:21" x14ac:dyDescent="0.25">
      <c r="A21" s="42">
        <v>9</v>
      </c>
      <c r="B21" s="40" t="s">
        <v>53</v>
      </c>
      <c r="C21" s="40"/>
      <c r="D21" s="44">
        <v>1</v>
      </c>
      <c r="E21" s="44">
        <v>4000</v>
      </c>
      <c r="F21" s="45">
        <f t="shared" si="10"/>
        <v>4000</v>
      </c>
      <c r="G21" s="273"/>
      <c r="H21" s="274">
        <f t="shared" si="11"/>
        <v>0</v>
      </c>
      <c r="I21" s="187" t="str">
        <f t="shared" si="12"/>
        <v/>
      </c>
      <c r="J21" s="275"/>
      <c r="K21" s="276"/>
      <c r="L21" s="277"/>
      <c r="M21" s="278"/>
      <c r="N21" s="279"/>
      <c r="O21" s="280"/>
      <c r="P21" s="281"/>
      <c r="Q21" s="272">
        <f t="shared" si="13"/>
        <v>0</v>
      </c>
      <c r="R21" s="282">
        <f t="shared" si="14"/>
        <v>0</v>
      </c>
      <c r="S21" s="278"/>
      <c r="T21" s="266"/>
      <c r="U21" s="283"/>
    </row>
    <row r="22" spans="1:21" x14ac:dyDescent="0.25">
      <c r="A22" s="42">
        <v>10</v>
      </c>
      <c r="B22" s="40" t="s">
        <v>276</v>
      </c>
      <c r="C22" s="40"/>
      <c r="D22" s="44">
        <v>4</v>
      </c>
      <c r="E22" s="44">
        <v>2000</v>
      </c>
      <c r="F22" s="45">
        <f t="shared" si="10"/>
        <v>8000</v>
      </c>
      <c r="G22" s="273"/>
      <c r="H22" s="274">
        <f t="shared" si="11"/>
        <v>0</v>
      </c>
      <c r="I22" s="187" t="str">
        <f t="shared" si="12"/>
        <v/>
      </c>
      <c r="J22" s="275"/>
      <c r="K22" s="276"/>
      <c r="L22" s="277"/>
      <c r="M22" s="278"/>
      <c r="N22" s="279"/>
      <c r="O22" s="280"/>
      <c r="P22" s="281"/>
      <c r="Q22" s="272">
        <f t="shared" si="13"/>
        <v>0</v>
      </c>
      <c r="R22" s="282">
        <f t="shared" si="14"/>
        <v>0</v>
      </c>
      <c r="S22" s="278"/>
      <c r="T22" s="266"/>
      <c r="U22" s="283"/>
    </row>
    <row r="23" spans="1:21" x14ac:dyDescent="0.25">
      <c r="A23" s="42">
        <v>11</v>
      </c>
      <c r="B23" s="40" t="s">
        <v>184</v>
      </c>
      <c r="C23" s="161"/>
      <c r="D23" s="44">
        <v>1</v>
      </c>
      <c r="E23" s="43">
        <f>IF('שאלון למילוי הבקשה - חובה'!$D$33&lt;31,6000,IF('שאלון למילוי הבקשה - חובה'!$D$33&lt;61,9000,12000))</f>
        <v>6000</v>
      </c>
      <c r="F23" s="45">
        <f t="shared" si="10"/>
        <v>6000</v>
      </c>
      <c r="G23" s="273"/>
      <c r="H23" s="274">
        <f t="shared" si="11"/>
        <v>0</v>
      </c>
      <c r="I23" s="187" t="str">
        <f t="shared" si="12"/>
        <v/>
      </c>
      <c r="J23" s="275"/>
      <c r="K23" s="276"/>
      <c r="L23" s="277"/>
      <c r="M23" s="278"/>
      <c r="N23" s="279"/>
      <c r="O23" s="280"/>
      <c r="P23" s="281"/>
      <c r="Q23" s="272">
        <f t="shared" si="13"/>
        <v>0</v>
      </c>
      <c r="R23" s="282">
        <f t="shared" si="14"/>
        <v>0</v>
      </c>
      <c r="S23" s="278"/>
      <c r="T23" s="266"/>
      <c r="U23" s="283"/>
    </row>
    <row r="24" spans="1:21" x14ac:dyDescent="0.25">
      <c r="A24" s="42">
        <v>12</v>
      </c>
      <c r="B24" s="40" t="s">
        <v>54</v>
      </c>
      <c r="C24" s="40"/>
      <c r="D24" s="44">
        <v>1</v>
      </c>
      <c r="E24" s="44">
        <v>3000</v>
      </c>
      <c r="F24" s="45">
        <f t="shared" si="10"/>
        <v>3000</v>
      </c>
      <c r="G24" s="273"/>
      <c r="H24" s="274">
        <f t="shared" si="11"/>
        <v>0</v>
      </c>
      <c r="I24" s="187" t="str">
        <f t="shared" si="12"/>
        <v/>
      </c>
      <c r="J24" s="275"/>
      <c r="K24" s="276"/>
      <c r="L24" s="277"/>
      <c r="M24" s="278"/>
      <c r="N24" s="279"/>
      <c r="O24" s="280"/>
      <c r="P24" s="281"/>
      <c r="Q24" s="272">
        <f t="shared" si="13"/>
        <v>0</v>
      </c>
      <c r="R24" s="282">
        <f t="shared" si="14"/>
        <v>0</v>
      </c>
      <c r="S24" s="278"/>
      <c r="T24" s="266"/>
      <c r="U24" s="283"/>
    </row>
    <row r="25" spans="1:21" x14ac:dyDescent="0.25">
      <c r="A25" s="42">
        <v>13</v>
      </c>
      <c r="B25" s="47" t="s">
        <v>277</v>
      </c>
      <c r="C25" s="161"/>
      <c r="D25" s="43">
        <f>IF('שאלון למילוי הבקשה - חובה'!$D$33&lt;31,1,IF('שאלון למילוי הבקשה - חובה'!$D$33&lt;61,2,3))</f>
        <v>1</v>
      </c>
      <c r="E25" s="44">
        <v>4000</v>
      </c>
      <c r="F25" s="45">
        <f t="shared" si="0"/>
        <v>4000</v>
      </c>
      <c r="G25" s="273"/>
      <c r="H25" s="274">
        <f t="shared" si="1"/>
        <v>0</v>
      </c>
      <c r="I25" s="187" t="str">
        <f t="shared" si="2"/>
        <v/>
      </c>
      <c r="J25" s="275"/>
      <c r="K25" s="276"/>
      <c r="L25" s="277"/>
      <c r="M25" s="278"/>
      <c r="N25" s="279"/>
      <c r="O25" s="280"/>
      <c r="P25" s="281"/>
      <c r="Q25" s="272">
        <f t="shared" si="3"/>
        <v>0</v>
      </c>
      <c r="R25" s="282">
        <f t="shared" si="4"/>
        <v>0</v>
      </c>
      <c r="S25" s="278"/>
      <c r="T25" s="266"/>
      <c r="U25" s="283"/>
    </row>
    <row r="26" spans="1:21" x14ac:dyDescent="0.25">
      <c r="A26" s="42">
        <v>14</v>
      </c>
      <c r="B26" s="40" t="s">
        <v>55</v>
      </c>
      <c r="C26" s="161"/>
      <c r="D26" s="43">
        <f>IF('שאלון למילוי הבקשה - חובה'!$D$33&lt;31,1,IF('שאלון למילוי הבקשה - חובה'!$D$33&lt;61,2,3))</f>
        <v>1</v>
      </c>
      <c r="E26" s="44">
        <v>1500</v>
      </c>
      <c r="F26" s="45">
        <f t="shared" si="0"/>
        <v>1500</v>
      </c>
      <c r="G26" s="273"/>
      <c r="H26" s="274">
        <f t="shared" si="1"/>
        <v>0</v>
      </c>
      <c r="I26" s="187" t="str">
        <f t="shared" si="2"/>
        <v/>
      </c>
      <c r="J26" s="275"/>
      <c r="K26" s="276"/>
      <c r="L26" s="277"/>
      <c r="M26" s="278"/>
      <c r="N26" s="279"/>
      <c r="O26" s="280"/>
      <c r="P26" s="281"/>
      <c r="Q26" s="272">
        <f t="shared" si="3"/>
        <v>0</v>
      </c>
      <c r="R26" s="282">
        <f t="shared" si="4"/>
        <v>0</v>
      </c>
      <c r="S26" s="278"/>
      <c r="T26" s="266"/>
      <c r="U26" s="283"/>
    </row>
    <row r="27" spans="1:21" x14ac:dyDescent="0.25">
      <c r="A27" s="42">
        <v>15</v>
      </c>
      <c r="B27" s="40" t="s">
        <v>271</v>
      </c>
      <c r="C27" s="161"/>
      <c r="D27" s="44">
        <v>1</v>
      </c>
      <c r="E27" s="44">
        <v>3500</v>
      </c>
      <c r="F27" s="45">
        <f t="shared" si="0"/>
        <v>3500</v>
      </c>
      <c r="G27" s="273"/>
      <c r="H27" s="274">
        <f t="shared" si="1"/>
        <v>0</v>
      </c>
      <c r="I27" s="187" t="str">
        <f t="shared" si="2"/>
        <v/>
      </c>
      <c r="J27" s="275"/>
      <c r="K27" s="276"/>
      <c r="L27" s="277"/>
      <c r="M27" s="278"/>
      <c r="N27" s="279"/>
      <c r="O27" s="280"/>
      <c r="P27" s="281"/>
      <c r="Q27" s="272">
        <f t="shared" si="3"/>
        <v>0</v>
      </c>
      <c r="R27" s="282">
        <f t="shared" si="4"/>
        <v>0</v>
      </c>
      <c r="S27" s="278"/>
      <c r="T27" s="266"/>
      <c r="U27" s="283"/>
    </row>
    <row r="28" spans="1:21" x14ac:dyDescent="0.25">
      <c r="A28" s="42">
        <v>16</v>
      </c>
      <c r="B28" s="40" t="s">
        <v>134</v>
      </c>
      <c r="C28" s="161"/>
      <c r="D28" s="43">
        <f>IF('שאלון למילוי הבקשה - חובה'!$D$33&lt;31,1,IF('שאלון למילוי הבקשה - חובה'!$D$33&lt;61,2,3))</f>
        <v>1</v>
      </c>
      <c r="E28" s="44">
        <v>20000</v>
      </c>
      <c r="F28" s="45">
        <f t="shared" si="0"/>
        <v>20000</v>
      </c>
      <c r="G28" s="273"/>
      <c r="H28" s="274">
        <f t="shared" si="1"/>
        <v>0</v>
      </c>
      <c r="I28" s="187" t="str">
        <f t="shared" si="2"/>
        <v/>
      </c>
      <c r="J28" s="275"/>
      <c r="K28" s="276"/>
      <c r="L28" s="277"/>
      <c r="M28" s="278"/>
      <c r="N28" s="279"/>
      <c r="O28" s="280"/>
      <c r="P28" s="281"/>
      <c r="Q28" s="272">
        <f t="shared" si="3"/>
        <v>0</v>
      </c>
      <c r="R28" s="282">
        <f t="shared" si="4"/>
        <v>0</v>
      </c>
      <c r="S28" s="278"/>
      <c r="T28" s="266"/>
      <c r="U28" s="283"/>
    </row>
    <row r="29" spans="1:21" x14ac:dyDescent="0.25">
      <c r="A29" s="42">
        <v>17</v>
      </c>
      <c r="B29" s="261" t="s">
        <v>278</v>
      </c>
      <c r="C29" s="161"/>
      <c r="D29" s="43">
        <f>IF('שאלון למילוי הבקשה - חובה'!$D$33&lt;31,2,IF('שאלון למילוי הבקשה - חובה'!$D$33&lt;61,3,4))</f>
        <v>2</v>
      </c>
      <c r="E29" s="44">
        <v>4500</v>
      </c>
      <c r="F29" s="45">
        <f t="shared" si="0"/>
        <v>9000</v>
      </c>
      <c r="G29" s="273"/>
      <c r="H29" s="274">
        <f t="shared" si="1"/>
        <v>0</v>
      </c>
      <c r="I29" s="187" t="str">
        <f t="shared" si="2"/>
        <v/>
      </c>
      <c r="J29" s="275"/>
      <c r="K29" s="276"/>
      <c r="L29" s="277"/>
      <c r="M29" s="278"/>
      <c r="N29" s="279"/>
      <c r="O29" s="280"/>
      <c r="P29" s="281"/>
      <c r="Q29" s="272">
        <f t="shared" si="3"/>
        <v>0</v>
      </c>
      <c r="R29" s="282">
        <f t="shared" si="4"/>
        <v>0</v>
      </c>
      <c r="S29" s="278"/>
      <c r="T29" s="266"/>
      <c r="U29" s="283"/>
    </row>
    <row r="30" spans="1:21" x14ac:dyDescent="0.25">
      <c r="A30" s="42">
        <v>18</v>
      </c>
      <c r="B30" s="261" t="s">
        <v>279</v>
      </c>
      <c r="C30" s="161"/>
      <c r="D30" s="44">
        <v>1</v>
      </c>
      <c r="E30" s="44">
        <v>500</v>
      </c>
      <c r="F30" s="45">
        <f t="shared" ref="F30" si="15">D30*E30</f>
        <v>500</v>
      </c>
      <c r="G30" s="273"/>
      <c r="H30" s="274">
        <f t="shared" ref="H30" si="16">E30*G30</f>
        <v>0</v>
      </c>
      <c r="I30" s="187" t="str">
        <f t="shared" ref="I30" si="17">IF(G30&gt;D30,"נא להסביר חריגה","")</f>
        <v/>
      </c>
      <c r="J30" s="275"/>
      <c r="K30" s="276"/>
      <c r="L30" s="277"/>
      <c r="M30" s="278"/>
      <c r="N30" s="279"/>
      <c r="O30" s="280"/>
      <c r="P30" s="281"/>
      <c r="Q30" s="272">
        <f t="shared" ref="Q30" si="18">IF(P30="",0,P30-H30)</f>
        <v>0</v>
      </c>
      <c r="R30" s="282">
        <f t="shared" ref="R30" si="19">IF(H30=0,0,Q30/H30)</f>
        <v>0</v>
      </c>
      <c r="S30" s="278"/>
      <c r="T30" s="266"/>
      <c r="U30" s="283"/>
    </row>
    <row r="31" spans="1:21" x14ac:dyDescent="0.25">
      <c r="A31" s="42">
        <v>19</v>
      </c>
      <c r="B31" s="40" t="s">
        <v>187</v>
      </c>
      <c r="C31" s="161" t="s">
        <v>186</v>
      </c>
      <c r="D31" s="89">
        <f>ROUNDUP('שאלון למילוי הבקשה - חובה'!$D$33*1.2*7/6,0)</f>
        <v>0</v>
      </c>
      <c r="E31" s="44">
        <v>500</v>
      </c>
      <c r="F31" s="45">
        <f t="shared" si="0"/>
        <v>0</v>
      </c>
      <c r="G31" s="273"/>
      <c r="H31" s="274">
        <f t="shared" si="1"/>
        <v>0</v>
      </c>
      <c r="I31" s="187" t="str">
        <f t="shared" si="2"/>
        <v/>
      </c>
      <c r="J31" s="275"/>
      <c r="K31" s="276"/>
      <c r="L31" s="277"/>
      <c r="M31" s="278"/>
      <c r="N31" s="279"/>
      <c r="O31" s="280"/>
      <c r="P31" s="281"/>
      <c r="Q31" s="272">
        <f t="shared" si="3"/>
        <v>0</v>
      </c>
      <c r="R31" s="282">
        <f t="shared" si="4"/>
        <v>0</v>
      </c>
      <c r="S31" s="278"/>
      <c r="T31" s="266"/>
      <c r="U31" s="283"/>
    </row>
    <row r="32" spans="1:21" ht="27.6" x14ac:dyDescent="0.25">
      <c r="A32" s="42">
        <v>20</v>
      </c>
      <c r="B32" s="40" t="s">
        <v>185</v>
      </c>
      <c r="C32" s="161" t="s">
        <v>280</v>
      </c>
      <c r="D32" s="89">
        <f>ROUNDUP('שאלון למילוי הבקשה - חובה'!$D$33*7/6*1.2,0)</f>
        <v>0</v>
      </c>
      <c r="E32" s="44">
        <v>300</v>
      </c>
      <c r="F32" s="44">
        <f t="shared" si="0"/>
        <v>0</v>
      </c>
      <c r="G32" s="273"/>
      <c r="H32" s="274">
        <f t="shared" si="1"/>
        <v>0</v>
      </c>
      <c r="I32" s="187" t="str">
        <f t="shared" si="2"/>
        <v/>
      </c>
      <c r="J32" s="275"/>
      <c r="K32" s="276"/>
      <c r="L32" s="277"/>
      <c r="M32" s="278"/>
      <c r="N32" s="279"/>
      <c r="O32" s="280"/>
      <c r="P32" s="281"/>
      <c r="Q32" s="272">
        <f t="shared" si="3"/>
        <v>0</v>
      </c>
      <c r="R32" s="282">
        <f t="shared" si="4"/>
        <v>0</v>
      </c>
      <c r="S32" s="278"/>
      <c r="T32" s="266"/>
      <c r="U32" s="283"/>
    </row>
    <row r="33" spans="1:21" ht="27.6" x14ac:dyDescent="0.25">
      <c r="A33" s="42">
        <v>21</v>
      </c>
      <c r="B33" s="120" t="s">
        <v>188</v>
      </c>
      <c r="C33" s="161" t="s">
        <v>189</v>
      </c>
      <c r="D33" s="89">
        <f>ROUNDUP('שאלון למילוי הבקשה - חובה'!$D$33*7/6,0)</f>
        <v>0</v>
      </c>
      <c r="E33" s="58">
        <v>600</v>
      </c>
      <c r="F33" s="44">
        <f t="shared" si="0"/>
        <v>0</v>
      </c>
      <c r="G33" s="273"/>
      <c r="H33" s="274">
        <f t="shared" si="1"/>
        <v>0</v>
      </c>
      <c r="I33" s="187" t="str">
        <f t="shared" si="2"/>
        <v/>
      </c>
      <c r="J33" s="339"/>
      <c r="K33" s="276"/>
      <c r="L33" s="277"/>
      <c r="M33" s="278"/>
      <c r="N33" s="279"/>
      <c r="O33" s="280"/>
      <c r="P33" s="281"/>
      <c r="Q33" s="272">
        <f t="shared" si="3"/>
        <v>0</v>
      </c>
      <c r="R33" s="282">
        <f t="shared" si="4"/>
        <v>0</v>
      </c>
      <c r="S33" s="278"/>
      <c r="T33" s="266"/>
      <c r="U33" s="283"/>
    </row>
    <row r="34" spans="1:21" x14ac:dyDescent="0.25">
      <c r="A34" s="42">
        <v>22</v>
      </c>
      <c r="B34" s="40" t="s">
        <v>190</v>
      </c>
      <c r="C34" s="161" t="s">
        <v>245</v>
      </c>
      <c r="D34" s="89">
        <f>ROUNDUP('שאלון למילוי הבקשה - חובה'!$D$33*7/6/4,0)</f>
        <v>0</v>
      </c>
      <c r="E34" s="44">
        <v>3500</v>
      </c>
      <c r="F34" s="44">
        <f t="shared" si="0"/>
        <v>0</v>
      </c>
      <c r="G34" s="273"/>
      <c r="H34" s="274">
        <f t="shared" si="1"/>
        <v>0</v>
      </c>
      <c r="I34" s="187" t="str">
        <f t="shared" si="2"/>
        <v/>
      </c>
      <c r="J34" s="339"/>
      <c r="K34" s="276"/>
      <c r="L34" s="277"/>
      <c r="M34" s="278"/>
      <c r="N34" s="279"/>
      <c r="O34" s="280"/>
      <c r="P34" s="281"/>
      <c r="Q34" s="272">
        <f t="shared" si="3"/>
        <v>0</v>
      </c>
      <c r="R34" s="282">
        <f t="shared" si="4"/>
        <v>0</v>
      </c>
      <c r="S34" s="278"/>
      <c r="T34" s="266"/>
      <c r="U34" s="283"/>
    </row>
    <row r="35" spans="1:21" s="67" customFormat="1" ht="27.6" x14ac:dyDescent="0.25">
      <c r="A35" s="121"/>
      <c r="B35" s="119" t="s">
        <v>135</v>
      </c>
      <c r="C35" s="119"/>
      <c r="D35" s="43"/>
      <c r="E35" s="43"/>
      <c r="F35" s="122">
        <f>SUM(F13:F34)</f>
        <v>141500</v>
      </c>
      <c r="G35" s="122"/>
      <c r="H35" s="122">
        <f>SUM(H13:H34)</f>
        <v>0</v>
      </c>
      <c r="I35" s="122"/>
      <c r="J35" s="122"/>
      <c r="K35" s="122">
        <f>SUM(K13:K34)</f>
        <v>0</v>
      </c>
      <c r="L35" s="208"/>
      <c r="M35" s="209"/>
      <c r="N35" s="210"/>
      <c r="O35" s="211"/>
      <c r="P35" s="122">
        <f t="shared" ref="P35:Q35" si="20">SUM(P13:P34)</f>
        <v>0</v>
      </c>
      <c r="Q35" s="122">
        <f t="shared" si="20"/>
        <v>0</v>
      </c>
      <c r="R35" s="282">
        <f t="shared" si="4"/>
        <v>0</v>
      </c>
      <c r="S35" s="214"/>
      <c r="T35" s="215"/>
      <c r="U35" s="216"/>
    </row>
  </sheetData>
  <sheetProtection algorithmName="SHA-512" hashValue="qMgkmjukUYl/dh40eVvts2/fAHkX7Z0wH1gJDripImrNE8APTkixA+FzPs9f0RCvQ209TLrtL+VN5y0U6F8Awg==" saltValue="qC/j1rwKBxjNdyLWcdNTqQ==" spinCount="100000" sheet="1" formatCells="0" formatColumns="0" formatRows="0"/>
  <phoneticPr fontId="40" type="noConversion"/>
  <conditionalFormatting sqref="B8:C8">
    <cfRule type="containsText" dxfId="13" priority="7" operator="containsText" text="נא להסביר חריגה כאן">
      <formula>NOT(ISERROR(SEARCH("נא להסביר חריגה כאן",B8)))</formula>
    </cfRule>
  </conditionalFormatting>
  <conditionalFormatting sqref="I13:I34">
    <cfRule type="cellIs" dxfId="12" priority="4" operator="equal">
      <formula>"נא להסביר חריגה"</formula>
    </cfRule>
    <cfRule type="cellIs" dxfId="11" priority="5" operator="equal">
      <formula>"נא להסביר חריגה"</formula>
    </cfRule>
  </conditionalFormatting>
  <conditionalFormatting sqref="I13:J34">
    <cfRule type="containsText" dxfId="10" priority="6" operator="containsText" text="נא להסביר חריגה כאן">
      <formula>NOT(ISERROR(SEARCH("נא להסביר חריגה כאן",I13)))</formula>
    </cfRule>
  </conditionalFormatting>
  <conditionalFormatting sqref="K13:K34">
    <cfRule type="containsText" dxfId="9" priority="2" operator="containsText" text="נא להסביר חריגה כאן">
      <formula>NOT(ISERROR(SEARCH("נא להסביר חריגה כאן",K13)))</formula>
    </cfRule>
  </conditionalFormatting>
  <conditionalFormatting sqref="Q13:R34">
    <cfRule type="cellIs" dxfId="8" priority="3" operator="greaterThan">
      <formula>0</formula>
    </cfRule>
  </conditionalFormatting>
  <conditionalFormatting sqref="R35">
    <cfRule type="cellIs" dxfId="7" priority="1" operator="greaterThan">
      <formula>0</formula>
    </cfRule>
  </conditionalFormatting>
  <pageMargins left="0.70833333333333304" right="1.2993055555555599" top="0.74861111111111101" bottom="0.74791666666666701" header="0.31527777777777799" footer="0.511811023622047"/>
  <pageSetup scale="80" orientation="landscape" horizontalDpi="300" verticalDpi="300" r:id="rId1"/>
  <headerFooter>
    <oddHeader>&amp;C&amp;"David,Regular"&amp;16 קרנות הביטוח הלאומי_x005F_x000a_הקרן לפיתוח שרותים לנכים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8FD3-2D9B-4B0C-A51C-DDCEEA84517B}">
  <dimension ref="A1:V28"/>
  <sheetViews>
    <sheetView rightToLeft="1" tabSelected="1" zoomScale="80" zoomScaleNormal="80" workbookViewId="0"/>
  </sheetViews>
  <sheetFormatPr defaultColWidth="8.6640625" defaultRowHeight="13.8" outlineLevelCol="1" x14ac:dyDescent="0.25"/>
  <cols>
    <col min="1" max="1" width="4" style="249" customWidth="1"/>
    <col min="2" max="2" width="16.109375" style="249" customWidth="1"/>
    <col min="3" max="3" width="23.88671875" style="249" customWidth="1"/>
    <col min="4" max="4" width="10.33203125" style="249" customWidth="1"/>
    <col min="5" max="5" width="8.6640625" style="249"/>
    <col min="6" max="6" width="10.77734375" style="249" customWidth="1"/>
    <col min="7" max="8" width="8.6640625" style="249"/>
    <col min="9" max="9" width="15.21875" style="249" customWidth="1"/>
    <col min="10" max="10" width="14.6640625" style="249" customWidth="1"/>
    <col min="11" max="12" width="8.6640625" style="249" hidden="1" customWidth="1" outlineLevel="1"/>
    <col min="13" max="13" width="15.109375" style="249" hidden="1" customWidth="1" outlineLevel="1"/>
    <col min="14" max="16" width="8.6640625" style="249" hidden="1" customWidth="1" outlineLevel="1"/>
    <col min="17" max="17" width="15.33203125" style="249" hidden="1" customWidth="1" outlineLevel="1"/>
    <col min="18" max="21" width="8.6640625" style="249" hidden="1" customWidth="1" outlineLevel="1"/>
    <col min="22" max="22" width="8.6640625" style="249" collapsed="1"/>
    <col min="23" max="16384" width="8.6640625" style="249"/>
  </cols>
  <sheetData>
    <row r="1" spans="1:21" x14ac:dyDescent="0.25">
      <c r="A1" s="13"/>
      <c r="B1" s="2" t="str">
        <f>'שאלון למילוי הבקשה - חובה'!B1</f>
        <v>תקן ציוד כללי בסיסי למרכזי פעילות יומית לאנשים עם מוגבלות- מרחבים: גירסת- 1.9.2026</v>
      </c>
      <c r="C1" s="6"/>
      <c r="D1" s="13"/>
    </row>
    <row r="2" spans="1:21" ht="17.399999999999999" x14ac:dyDescent="0.3">
      <c r="A2" s="34"/>
      <c r="B2" s="7" t="str">
        <f>'שאלון למילוי הבקשה - חובה'!$C$7</f>
        <v>שם הגוף המבקש:</v>
      </c>
      <c r="C2" s="7"/>
      <c r="D2" s="340">
        <f>'שאלון למילוי הבקשה - חובה'!$D$7</f>
        <v>0</v>
      </c>
    </row>
    <row r="3" spans="1:21" ht="17.399999999999999" x14ac:dyDescent="0.3">
      <c r="A3" s="34"/>
      <c r="B3" s="7" t="str">
        <f>'שאלון למילוי הבקשה - חובה'!$C$18</f>
        <v>שם המסגרת:</v>
      </c>
      <c r="C3" s="7"/>
      <c r="D3" s="340">
        <f>'שאלון למילוי הבקשה - חובה'!$D$18</f>
        <v>0</v>
      </c>
    </row>
    <row r="4" spans="1:21" x14ac:dyDescent="0.25">
      <c r="B4" s="7" t="str">
        <f>'שאלון למילוי הבקשה - חובה'!$C$33</f>
        <v>מספר האנשים שעבורם מיועד הפרויקט (בין 20 ל-25):</v>
      </c>
      <c r="C4" s="7"/>
      <c r="D4" s="7">
        <f>'שאלון למילוי הבקשה - חובה'!$D$33</f>
        <v>0</v>
      </c>
    </row>
    <row r="5" spans="1:21" x14ac:dyDescent="0.25">
      <c r="B5" s="7" t="str">
        <f>'שאלון למילוי הבקשה - חובה'!$C$35</f>
        <v>מספר חדרי קבוצות כולל חדרי פעילות וסדנאות:</v>
      </c>
      <c r="C5" s="7"/>
      <c r="D5" s="7">
        <f>'שאלון למילוי הבקשה - חובה'!$D$35</f>
        <v>0</v>
      </c>
    </row>
    <row r="6" spans="1:21" x14ac:dyDescent="0.25">
      <c r="A6" s="249">
        <v>5</v>
      </c>
      <c r="B6" s="250" t="s">
        <v>220</v>
      </c>
      <c r="C6" s="250"/>
    </row>
    <row r="7" spans="1:21" x14ac:dyDescent="0.25">
      <c r="A7" s="268">
        <v>5.0999999999999996</v>
      </c>
      <c r="B7" s="251" t="s">
        <v>200</v>
      </c>
      <c r="C7" s="252"/>
      <c r="D7" s="253"/>
      <c r="E7" s="253"/>
      <c r="F7" s="254"/>
      <c r="G7" s="255" t="s">
        <v>201</v>
      </c>
      <c r="H7" s="253"/>
      <c r="I7" s="253"/>
      <c r="J7" s="254"/>
      <c r="K7" s="257" t="s">
        <v>165</v>
      </c>
      <c r="L7" s="258"/>
      <c r="M7" s="258" t="s">
        <v>166</v>
      </c>
      <c r="N7" s="258"/>
      <c r="O7" s="258"/>
      <c r="P7" s="258"/>
      <c r="Q7" s="258"/>
      <c r="R7" s="258"/>
      <c r="S7" s="258"/>
      <c r="T7" s="258"/>
      <c r="U7" s="259"/>
    </row>
    <row r="8" spans="1:21" ht="69" x14ac:dyDescent="0.25">
      <c r="A8" s="260" t="s">
        <v>116</v>
      </c>
      <c r="B8" s="261" t="s">
        <v>26</v>
      </c>
      <c r="C8" s="261" t="s">
        <v>31</v>
      </c>
      <c r="D8" s="261" t="s">
        <v>36</v>
      </c>
      <c r="E8" s="261" t="s">
        <v>37</v>
      </c>
      <c r="F8" s="261" t="s">
        <v>38</v>
      </c>
      <c r="G8" s="261" t="s">
        <v>28</v>
      </c>
      <c r="H8" s="261" t="s">
        <v>39</v>
      </c>
      <c r="I8" s="261" t="s">
        <v>29</v>
      </c>
      <c r="J8" s="261" t="s">
        <v>105</v>
      </c>
      <c r="K8" s="262" t="s">
        <v>106</v>
      </c>
      <c r="L8" s="263" t="s">
        <v>167</v>
      </c>
      <c r="M8" s="264" t="s">
        <v>168</v>
      </c>
      <c r="N8" s="264" t="s">
        <v>169</v>
      </c>
      <c r="O8" s="264" t="s">
        <v>170</v>
      </c>
      <c r="P8" s="265" t="s">
        <v>171</v>
      </c>
      <c r="Q8" s="265" t="s">
        <v>172</v>
      </c>
      <c r="R8" s="264" t="s">
        <v>30</v>
      </c>
      <c r="S8" s="264" t="s">
        <v>173</v>
      </c>
      <c r="T8" s="266" t="s">
        <v>174</v>
      </c>
      <c r="U8" s="267" t="s">
        <v>175</v>
      </c>
    </row>
    <row r="9" spans="1:21" x14ac:dyDescent="0.25">
      <c r="A9" s="268">
        <v>1</v>
      </c>
      <c r="B9" s="269" t="s">
        <v>273</v>
      </c>
      <c r="C9" s="270" t="s">
        <v>202</v>
      </c>
      <c r="D9" s="271">
        <f>D$25</f>
        <v>3</v>
      </c>
      <c r="E9" s="183">
        <v>1000</v>
      </c>
      <c r="F9" s="272">
        <f t="shared" ref="F9:F17" si="0">E9*D9</f>
        <v>3000</v>
      </c>
      <c r="G9" s="273"/>
      <c r="H9" s="274">
        <f t="shared" ref="H9:H17" si="1">E9*G9</f>
        <v>0</v>
      </c>
      <c r="I9" s="187" t="str">
        <f t="shared" ref="I9:I17" si="2">IF(G9&gt;D9,"נא להסביר חריגה","")</f>
        <v/>
      </c>
      <c r="J9" s="275"/>
      <c r="K9" s="276"/>
      <c r="L9" s="277"/>
      <c r="M9" s="278"/>
      <c r="N9" s="279"/>
      <c r="O9" s="280"/>
      <c r="P9" s="281"/>
      <c r="Q9" s="272">
        <f t="shared" ref="Q9:Q18" si="3">IF(P9="",0,P9-H9)</f>
        <v>0</v>
      </c>
      <c r="R9" s="282">
        <f t="shared" ref="R9:R18" si="4">IF(H9=0,0,Q9/H9)</f>
        <v>0</v>
      </c>
      <c r="S9" s="278"/>
      <c r="T9" s="266"/>
      <c r="U9" s="283"/>
    </row>
    <row r="10" spans="1:21" x14ac:dyDescent="0.25">
      <c r="A10" s="268">
        <v>2</v>
      </c>
      <c r="B10" s="269" t="s">
        <v>203</v>
      </c>
      <c r="C10" s="270" t="s">
        <v>202</v>
      </c>
      <c r="D10" s="271">
        <f>D$25</f>
        <v>3</v>
      </c>
      <c r="E10" s="183">
        <v>2500</v>
      </c>
      <c r="F10" s="272">
        <f t="shared" si="0"/>
        <v>7500</v>
      </c>
      <c r="G10" s="273"/>
      <c r="H10" s="274">
        <f t="shared" si="1"/>
        <v>0</v>
      </c>
      <c r="I10" s="187" t="str">
        <f t="shared" si="2"/>
        <v/>
      </c>
      <c r="J10" s="275"/>
      <c r="K10" s="276"/>
      <c r="L10" s="277"/>
      <c r="M10" s="278"/>
      <c r="N10" s="279"/>
      <c r="O10" s="280"/>
      <c r="P10" s="281"/>
      <c r="Q10" s="272">
        <f t="shared" si="3"/>
        <v>0</v>
      </c>
      <c r="R10" s="282">
        <f t="shared" si="4"/>
        <v>0</v>
      </c>
      <c r="S10" s="278"/>
      <c r="T10" s="266"/>
      <c r="U10" s="283"/>
    </row>
    <row r="11" spans="1:21" x14ac:dyDescent="0.25">
      <c r="A11" s="268">
        <v>3</v>
      </c>
      <c r="B11" s="261" t="s">
        <v>204</v>
      </c>
      <c r="C11" s="270" t="s">
        <v>202</v>
      </c>
      <c r="D11" s="271">
        <f>D$25</f>
        <v>3</v>
      </c>
      <c r="E11" s="183">
        <v>4500</v>
      </c>
      <c r="F11" s="272">
        <f t="shared" si="0"/>
        <v>13500</v>
      </c>
      <c r="G11" s="273"/>
      <c r="H11" s="274">
        <f t="shared" si="1"/>
        <v>0</v>
      </c>
      <c r="I11" s="187" t="str">
        <f t="shared" si="2"/>
        <v/>
      </c>
      <c r="J11" s="275"/>
      <c r="K11" s="276"/>
      <c r="L11" s="277"/>
      <c r="M11" s="278"/>
      <c r="N11" s="279"/>
      <c r="O11" s="280"/>
      <c r="P11" s="281"/>
      <c r="Q11" s="272">
        <f t="shared" si="3"/>
        <v>0</v>
      </c>
      <c r="R11" s="282">
        <f t="shared" si="4"/>
        <v>0</v>
      </c>
      <c r="S11" s="278"/>
      <c r="T11" s="266"/>
      <c r="U11" s="283"/>
    </row>
    <row r="12" spans="1:21" x14ac:dyDescent="0.25">
      <c r="A12" s="268">
        <v>4</v>
      </c>
      <c r="B12" s="269" t="s">
        <v>205</v>
      </c>
      <c r="C12" s="270" t="s">
        <v>202</v>
      </c>
      <c r="D12" s="271">
        <f>D$25</f>
        <v>3</v>
      </c>
      <c r="E12" s="183">
        <v>5000</v>
      </c>
      <c r="F12" s="272">
        <f t="shared" si="0"/>
        <v>15000</v>
      </c>
      <c r="G12" s="273"/>
      <c r="H12" s="274">
        <f t="shared" si="1"/>
        <v>0</v>
      </c>
      <c r="I12" s="187" t="str">
        <f t="shared" si="2"/>
        <v/>
      </c>
      <c r="J12" s="275"/>
      <c r="K12" s="276"/>
      <c r="L12" s="277"/>
      <c r="M12" s="278"/>
      <c r="N12" s="279"/>
      <c r="O12" s="280"/>
      <c r="P12" s="281"/>
      <c r="Q12" s="272">
        <f t="shared" si="3"/>
        <v>0</v>
      </c>
      <c r="R12" s="282">
        <f t="shared" si="4"/>
        <v>0</v>
      </c>
      <c r="S12" s="278"/>
      <c r="T12" s="266"/>
      <c r="U12" s="283"/>
    </row>
    <row r="13" spans="1:21" x14ac:dyDescent="0.25">
      <c r="A13" s="268">
        <v>5</v>
      </c>
      <c r="B13" s="269" t="s">
        <v>206</v>
      </c>
      <c r="C13" s="270" t="s">
        <v>202</v>
      </c>
      <c r="D13" s="271">
        <f>D$25</f>
        <v>3</v>
      </c>
      <c r="E13" s="183">
        <v>1500</v>
      </c>
      <c r="F13" s="272">
        <f t="shared" si="0"/>
        <v>4500</v>
      </c>
      <c r="G13" s="273"/>
      <c r="H13" s="274">
        <f t="shared" si="1"/>
        <v>0</v>
      </c>
      <c r="I13" s="187" t="str">
        <f t="shared" si="2"/>
        <v/>
      </c>
      <c r="J13" s="275"/>
      <c r="K13" s="276"/>
      <c r="L13" s="277"/>
      <c r="M13" s="278"/>
      <c r="N13" s="279"/>
      <c r="O13" s="280"/>
      <c r="P13" s="281"/>
      <c r="Q13" s="272">
        <f t="shared" si="3"/>
        <v>0</v>
      </c>
      <c r="R13" s="282">
        <f t="shared" si="4"/>
        <v>0</v>
      </c>
      <c r="S13" s="278"/>
      <c r="T13" s="266"/>
      <c r="U13" s="283"/>
    </row>
    <row r="14" spans="1:21" x14ac:dyDescent="0.25">
      <c r="A14" s="268">
        <v>6</v>
      </c>
      <c r="B14" s="269" t="s">
        <v>207</v>
      </c>
      <c r="C14" s="270"/>
      <c r="D14" s="284">
        <v>1</v>
      </c>
      <c r="E14" s="183">
        <v>1500</v>
      </c>
      <c r="F14" s="272">
        <f t="shared" si="0"/>
        <v>1500</v>
      </c>
      <c r="G14" s="273"/>
      <c r="H14" s="274">
        <f t="shared" si="1"/>
        <v>0</v>
      </c>
      <c r="I14" s="187" t="str">
        <f t="shared" si="2"/>
        <v/>
      </c>
      <c r="J14" s="275"/>
      <c r="K14" s="276"/>
      <c r="L14" s="277"/>
      <c r="M14" s="278"/>
      <c r="N14" s="279"/>
      <c r="O14" s="280"/>
      <c r="P14" s="281"/>
      <c r="Q14" s="272">
        <f t="shared" si="3"/>
        <v>0</v>
      </c>
      <c r="R14" s="282">
        <f t="shared" si="4"/>
        <v>0</v>
      </c>
      <c r="S14" s="278"/>
      <c r="T14" s="266"/>
      <c r="U14" s="283"/>
    </row>
    <row r="15" spans="1:21" x14ac:dyDescent="0.25">
      <c r="A15" s="268">
        <v>7</v>
      </c>
      <c r="B15" s="269" t="s">
        <v>208</v>
      </c>
      <c r="C15" s="270"/>
      <c r="D15" s="284">
        <v>1</v>
      </c>
      <c r="E15" s="183">
        <v>2000</v>
      </c>
      <c r="F15" s="272">
        <f t="shared" si="0"/>
        <v>2000</v>
      </c>
      <c r="G15" s="273"/>
      <c r="H15" s="274">
        <f t="shared" si="1"/>
        <v>0</v>
      </c>
      <c r="I15" s="187" t="str">
        <f t="shared" si="2"/>
        <v/>
      </c>
      <c r="J15" s="275"/>
      <c r="K15" s="276"/>
      <c r="L15" s="277"/>
      <c r="M15" s="278"/>
      <c r="N15" s="279"/>
      <c r="O15" s="280"/>
      <c r="P15" s="281"/>
      <c r="Q15" s="272">
        <f t="shared" si="3"/>
        <v>0</v>
      </c>
      <c r="R15" s="282">
        <f t="shared" si="4"/>
        <v>0</v>
      </c>
      <c r="S15" s="278"/>
      <c r="T15" s="266"/>
      <c r="U15" s="283"/>
    </row>
    <row r="16" spans="1:21" x14ac:dyDescent="0.25">
      <c r="A16" s="268">
        <v>8</v>
      </c>
      <c r="B16" s="269" t="s">
        <v>209</v>
      </c>
      <c r="C16" s="270" t="s">
        <v>202</v>
      </c>
      <c r="D16" s="271">
        <f>D$25</f>
        <v>3</v>
      </c>
      <c r="E16" s="183">
        <v>700</v>
      </c>
      <c r="F16" s="272">
        <f t="shared" si="0"/>
        <v>2100</v>
      </c>
      <c r="G16" s="273"/>
      <c r="H16" s="274">
        <f t="shared" si="1"/>
        <v>0</v>
      </c>
      <c r="I16" s="187" t="str">
        <f t="shared" si="2"/>
        <v/>
      </c>
      <c r="J16" s="275"/>
      <c r="K16" s="276"/>
      <c r="L16" s="277"/>
      <c r="M16" s="278"/>
      <c r="N16" s="279"/>
      <c r="O16" s="280"/>
      <c r="P16" s="281"/>
      <c r="Q16" s="272">
        <f t="shared" si="3"/>
        <v>0</v>
      </c>
      <c r="R16" s="282">
        <f t="shared" si="4"/>
        <v>0</v>
      </c>
      <c r="S16" s="278"/>
      <c r="T16" s="266"/>
      <c r="U16" s="283"/>
    </row>
    <row r="17" spans="1:21" x14ac:dyDescent="0.25">
      <c r="A17" s="268">
        <v>9</v>
      </c>
      <c r="B17" s="269" t="s">
        <v>210</v>
      </c>
      <c r="C17" s="270" t="s">
        <v>211</v>
      </c>
      <c r="D17" s="271">
        <f>D$25</f>
        <v>3</v>
      </c>
      <c r="E17" s="285">
        <v>600</v>
      </c>
      <c r="F17" s="285">
        <f t="shared" si="0"/>
        <v>1800</v>
      </c>
      <c r="G17" s="273"/>
      <c r="H17" s="274">
        <f t="shared" si="1"/>
        <v>0</v>
      </c>
      <c r="I17" s="187" t="str">
        <f t="shared" si="2"/>
        <v/>
      </c>
      <c r="J17" s="275"/>
      <c r="K17" s="276"/>
      <c r="L17" s="277"/>
      <c r="M17" s="278"/>
      <c r="N17" s="279"/>
      <c r="O17" s="280"/>
      <c r="P17" s="281"/>
      <c r="Q17" s="272">
        <f t="shared" si="3"/>
        <v>0</v>
      </c>
      <c r="R17" s="282">
        <f t="shared" si="4"/>
        <v>0</v>
      </c>
      <c r="S17" s="278"/>
      <c r="T17" s="266"/>
      <c r="U17" s="283"/>
    </row>
    <row r="18" spans="1:21" s="250" customFormat="1" x14ac:dyDescent="0.25">
      <c r="A18" s="286"/>
      <c r="B18" s="295" t="s">
        <v>212</v>
      </c>
      <c r="C18" s="296"/>
      <c r="D18" s="297"/>
      <c r="E18" s="298"/>
      <c r="F18" s="212">
        <f>SUM(F9:F17)</f>
        <v>50900</v>
      </c>
      <c r="G18" s="288"/>
      <c r="H18" s="288">
        <f>SUM(H9:H17)</f>
        <v>0</v>
      </c>
      <c r="I18" s="288"/>
      <c r="J18" s="288"/>
      <c r="K18" s="207">
        <f>SUM(K9:K17)</f>
        <v>0</v>
      </c>
      <c r="L18" s="208"/>
      <c r="M18" s="209"/>
      <c r="N18" s="210"/>
      <c r="O18" s="211"/>
      <c r="P18" s="207">
        <f>SUM(P9:P17)</f>
        <v>0</v>
      </c>
      <c r="Q18" s="212">
        <f t="shared" si="3"/>
        <v>0</v>
      </c>
      <c r="R18" s="213">
        <f t="shared" si="4"/>
        <v>0</v>
      </c>
      <c r="S18" s="214"/>
      <c r="T18" s="215"/>
      <c r="U18" s="216"/>
    </row>
    <row r="19" spans="1:21" x14ac:dyDescent="0.25">
      <c r="B19" s="289"/>
      <c r="C19" s="289"/>
      <c r="D19" s="289"/>
      <c r="E19" s="256"/>
      <c r="F19" s="289"/>
    </row>
    <row r="20" spans="1:21" x14ac:dyDescent="0.25">
      <c r="B20" s="256" t="s">
        <v>213</v>
      </c>
      <c r="C20" s="256"/>
      <c r="D20" s="289"/>
      <c r="E20" s="256"/>
      <c r="F20" s="256"/>
      <c r="G20" s="256"/>
      <c r="H20" s="256"/>
    </row>
    <row r="21" spans="1:21" ht="27.6" x14ac:dyDescent="0.25">
      <c r="A21" s="290" t="s">
        <v>116</v>
      </c>
      <c r="B21" s="255" t="s">
        <v>214</v>
      </c>
      <c r="C21" s="254"/>
      <c r="D21" s="350" t="s">
        <v>215</v>
      </c>
      <c r="E21" s="256"/>
      <c r="F21" s="256"/>
      <c r="G21" s="256"/>
      <c r="H21" s="256"/>
    </row>
    <row r="22" spans="1:21" x14ac:dyDescent="0.25">
      <c r="A22" s="274">
        <v>1</v>
      </c>
      <c r="B22" s="292" t="s">
        <v>216</v>
      </c>
      <c r="C22" s="293"/>
      <c r="D22" s="294">
        <v>1</v>
      </c>
      <c r="E22" s="256"/>
      <c r="F22" s="256"/>
      <c r="G22" s="256"/>
      <c r="H22" s="256"/>
    </row>
    <row r="23" spans="1:21" x14ac:dyDescent="0.25">
      <c r="A23" s="274">
        <v>2</v>
      </c>
      <c r="B23" s="292" t="s">
        <v>217</v>
      </c>
      <c r="C23" s="293"/>
      <c r="D23" s="294">
        <v>1</v>
      </c>
      <c r="E23" s="256"/>
      <c r="F23" s="256"/>
      <c r="G23" s="256"/>
      <c r="H23" s="256"/>
    </row>
    <row r="24" spans="1:21" x14ac:dyDescent="0.25">
      <c r="A24" s="274">
        <v>3</v>
      </c>
      <c r="B24" s="292" t="s">
        <v>218</v>
      </c>
      <c r="C24" s="293"/>
      <c r="D24" s="287">
        <f>IF('שאלון למילוי הבקשה - חובה'!$D$35&lt;31,1,IF('שאלון למילוי הבקשה - חובה'!$D$35&lt;61,2,3))</f>
        <v>1</v>
      </c>
      <c r="E24" s="256"/>
      <c r="F24" s="256"/>
      <c r="G24" s="256"/>
      <c r="H24" s="256"/>
    </row>
    <row r="25" spans="1:21" x14ac:dyDescent="0.25">
      <c r="A25" s="255"/>
      <c r="B25" s="253" t="s">
        <v>219</v>
      </c>
      <c r="C25" s="254"/>
      <c r="D25" s="291">
        <f>SUM(D22:D24)</f>
        <v>3</v>
      </c>
      <c r="E25" s="256"/>
      <c r="F25" s="256"/>
      <c r="G25" s="256"/>
      <c r="H25" s="256"/>
    </row>
    <row r="26" spans="1:21" x14ac:dyDescent="0.25">
      <c r="E26" s="256"/>
      <c r="F26" s="256"/>
      <c r="G26" s="256"/>
      <c r="H26" s="256"/>
    </row>
    <row r="27" spans="1:21" x14ac:dyDescent="0.25">
      <c r="E27" s="256"/>
    </row>
    <row r="28" spans="1:21" x14ac:dyDescent="0.25">
      <c r="E28" s="256"/>
    </row>
  </sheetData>
  <sheetProtection algorithmName="SHA-512" hashValue="O198nzNwdAuYLsyAXvv3o0aAYUVQ6970GhiVXULyZJpIYIcXDVUBoHvdRUOtA1NnrwJKEkLpoO0eI3MhERSVqg==" saltValue="y8deDPcb1AEcnyhVACRMVA==" spinCount="100000" sheet="1" formatCells="0" formatColumns="0" formatRows="0"/>
  <conditionalFormatting sqref="I9:I17">
    <cfRule type="cellIs" dxfId="6" priority="2" operator="equal">
      <formula>"נא להסביר חריגה"</formula>
    </cfRule>
    <cfRule type="cellIs" dxfId="5" priority="3" operator="equal">
      <formula>"נא להסביר חריגה"</formula>
    </cfRule>
  </conditionalFormatting>
  <conditionalFormatting sqref="I9:K9 I10:J17">
    <cfRule type="containsText" dxfId="4" priority="4" operator="containsText" text="נא להסביר חריגה כאן">
      <formula>NOT(ISERROR(SEARCH("נא להסביר חריגה כאן",I9)))</formula>
    </cfRule>
  </conditionalFormatting>
  <conditionalFormatting sqref="K10:K17">
    <cfRule type="containsText" dxfId="3" priority="1" operator="containsText" text="נא להסביר חריגה כאן">
      <formula>NOT(ISERROR(SEARCH("נא להסביר חריגה כאן",K10)))</formula>
    </cfRule>
  </conditionalFormatting>
  <conditionalFormatting sqref="Q9:R18">
    <cfRule type="cellIs" dxfId="2" priority="5" operator="greaterThan">
      <formula>0</formula>
    </cfRule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rightToLeft="1" zoomScale="80" zoomScaleNormal="80" workbookViewId="0">
      <pane xSplit="5" ySplit="5" topLeftCell="F9" activePane="bottomRight" state="frozen"/>
      <selection pane="topRight" activeCell="F1" sqref="F1"/>
      <selection pane="bottomLeft" activeCell="A5" sqref="A5"/>
      <selection pane="bottomRight"/>
    </sheetView>
  </sheetViews>
  <sheetFormatPr defaultColWidth="9" defaultRowHeight="13.8" outlineLevelRow="1" outlineLevelCol="1" x14ac:dyDescent="0.25"/>
  <cols>
    <col min="1" max="1" width="4.21875" style="13" customWidth="1"/>
    <col min="2" max="2" width="15.88671875" style="2" customWidth="1"/>
    <col min="3" max="3" width="14" style="13" customWidth="1"/>
    <col min="4" max="4" width="14.109375" style="13" customWidth="1"/>
    <col min="5" max="5" width="8.21875" style="13" customWidth="1"/>
    <col min="6" max="6" width="9.44140625" style="13" customWidth="1"/>
    <col min="7" max="7" width="9.33203125" style="13" customWidth="1"/>
    <col min="8" max="8" width="9" style="13" customWidth="1"/>
    <col min="9" max="9" width="14" style="13" customWidth="1"/>
    <col min="10" max="10" width="12.88671875" style="13" customWidth="1"/>
    <col min="11" max="11" width="18.88671875" style="13" customWidth="1"/>
    <col min="12" max="12" width="11.88671875" style="13" customWidth="1"/>
    <col min="13" max="13" width="8.21875" style="96" customWidth="1"/>
    <col min="14" max="14" width="10.21875" style="13" customWidth="1"/>
    <col min="15" max="15" width="13.109375" style="97" customWidth="1"/>
    <col min="16" max="16" width="19.77734375" style="13" customWidth="1"/>
    <col min="17" max="17" width="10.21875" style="13" customWidth="1" outlineLevel="1"/>
    <col min="18" max="21" width="9" style="13" customWidth="1" outlineLevel="1"/>
    <col min="22" max="22" width="9.77734375" style="13" customWidth="1" outlineLevel="1"/>
    <col min="23" max="27" width="9" style="13" customWidth="1" outlineLevel="1"/>
    <col min="28" max="16384" width="9" style="13"/>
  </cols>
  <sheetData>
    <row r="1" spans="1:27" x14ac:dyDescent="0.25">
      <c r="B1" s="2" t="str">
        <f>'שאלון למילוי הבקשה - חובה'!B1</f>
        <v>תקן ציוד כללי בסיסי למרכזי פעילות יומית לאנשים עם מוגבלות- מרחבים: גירסת- 1.9.2026</v>
      </c>
    </row>
    <row r="2" spans="1:27" ht="15" customHeight="1" x14ac:dyDescent="0.3">
      <c r="B2" s="7" t="str">
        <f>'שאלון למילוי הבקשה - חובה'!$C$7</f>
        <v>שם הגוף המבקש:</v>
      </c>
      <c r="C2" s="340">
        <f>'שאלון למילוי הבקשה - חובה'!$D$7</f>
        <v>0</v>
      </c>
      <c r="D2" s="117" t="s">
        <v>56</v>
      </c>
      <c r="K2" s="98"/>
    </row>
    <row r="3" spans="1:27" ht="15" customHeight="1" x14ac:dyDescent="0.3">
      <c r="B3" s="7" t="str">
        <f>'שאלון למילוי הבקשה - חובה'!$C$18</f>
        <v>שם המסגרת:</v>
      </c>
      <c r="C3" s="340">
        <f>'שאלון למילוי הבקשה - חובה'!$D$18</f>
        <v>0</v>
      </c>
      <c r="D3" s="117" t="s">
        <v>57</v>
      </c>
      <c r="O3" s="118"/>
    </row>
    <row r="4" spans="1:27" ht="15" customHeight="1" x14ac:dyDescent="0.25">
      <c r="A4" s="13">
        <v>6</v>
      </c>
      <c r="B4" s="11" t="s">
        <v>224</v>
      </c>
      <c r="L4" s="329"/>
      <c r="M4" s="330"/>
      <c r="N4" s="331" t="s">
        <v>257</v>
      </c>
      <c r="O4" s="332"/>
      <c r="P4" s="333"/>
      <c r="Q4" s="4" t="s">
        <v>165</v>
      </c>
      <c r="R4" s="141"/>
      <c r="S4" s="141" t="s">
        <v>166</v>
      </c>
      <c r="T4" s="141"/>
      <c r="U4" s="141"/>
      <c r="V4" s="141"/>
      <c r="W4" s="141"/>
      <c r="X4" s="141"/>
      <c r="Y4" s="141"/>
      <c r="Z4" s="141"/>
      <c r="AA4" s="138"/>
    </row>
    <row r="5" spans="1:27" ht="27" customHeight="1" x14ac:dyDescent="0.25">
      <c r="A5" s="99">
        <v>6</v>
      </c>
      <c r="B5" s="8" t="s">
        <v>58</v>
      </c>
      <c r="C5" s="8" t="s">
        <v>59</v>
      </c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100" t="s">
        <v>66</v>
      </c>
      <c r="K5" s="8" t="s">
        <v>67</v>
      </c>
      <c r="L5" s="8" t="s">
        <v>68</v>
      </c>
      <c r="M5" s="8" t="s">
        <v>69</v>
      </c>
      <c r="N5" s="101" t="s">
        <v>70</v>
      </c>
      <c r="O5" s="102" t="s">
        <v>71</v>
      </c>
      <c r="P5" s="8" t="s">
        <v>72</v>
      </c>
      <c r="Q5" s="41" t="s">
        <v>106</v>
      </c>
      <c r="R5" s="142" t="s">
        <v>167</v>
      </c>
      <c r="S5" s="143" t="s">
        <v>168</v>
      </c>
      <c r="T5" s="143" t="s">
        <v>169</v>
      </c>
      <c r="U5" s="143" t="s">
        <v>170</v>
      </c>
      <c r="V5" s="144" t="s">
        <v>171</v>
      </c>
      <c r="W5" s="144" t="s">
        <v>172</v>
      </c>
      <c r="X5" s="143" t="s">
        <v>30</v>
      </c>
      <c r="Y5" s="143" t="s">
        <v>173</v>
      </c>
      <c r="Z5" s="145" t="s">
        <v>174</v>
      </c>
      <c r="AA5" s="146" t="s">
        <v>175</v>
      </c>
    </row>
    <row r="6" spans="1:27" x14ac:dyDescent="0.25">
      <c r="A6" s="103">
        <v>1</v>
      </c>
      <c r="B6" s="326"/>
      <c r="C6" s="325"/>
      <c r="D6" s="325"/>
      <c r="E6" s="325"/>
      <c r="F6" s="324"/>
      <c r="G6" s="324"/>
      <c r="H6" s="324"/>
      <c r="I6" s="104">
        <f t="shared" ref="I6:I37" si="0">IF(J6="",(MIN($F6:$H6))*E6,IF(J6="הצעה א",F6*E6,IF(J6="הצעה ב",G6*E6,H6*E6)))</f>
        <v>0</v>
      </c>
      <c r="J6" s="325"/>
      <c r="K6" s="278" t="str">
        <f t="shared" ref="K6:K37" si="1">IF(J6="","","יש להסביר חריגה")</f>
        <v/>
      </c>
      <c r="L6" s="334"/>
      <c r="M6" s="335" t="str">
        <f>IF(ISBLANK(L6),"",IF(L6="מאשר",E6,0))</f>
        <v/>
      </c>
      <c r="N6" s="336"/>
      <c r="O6" s="337">
        <f t="shared" ref="O6:O37" si="2">IFERROR(IF(N6="מאושר",M6*I6/E6,M6*MIN(F6:H6)),0)</f>
        <v>0</v>
      </c>
      <c r="P6" s="338"/>
      <c r="Q6" s="276"/>
      <c r="R6" s="147"/>
      <c r="S6" s="148"/>
      <c r="T6" s="149"/>
      <c r="U6" s="150"/>
      <c r="V6" s="151"/>
      <c r="W6" s="152">
        <f t="shared" ref="W6:W37" si="3">IF(V6="",0,V6-O6)</f>
        <v>0</v>
      </c>
      <c r="X6" s="153">
        <f t="shared" ref="X6:X37" si="4">IF(O6=0,0,W6/O6)</f>
        <v>0</v>
      </c>
      <c r="Y6" s="148"/>
      <c r="Z6" s="145"/>
      <c r="AA6" s="12"/>
    </row>
    <row r="7" spans="1:27" x14ac:dyDescent="0.25">
      <c r="A7" s="103">
        <v>2</v>
      </c>
      <c r="B7" s="327"/>
      <c r="C7" s="325"/>
      <c r="D7" s="325"/>
      <c r="E7" s="325"/>
      <c r="F7" s="324"/>
      <c r="G7" s="324"/>
      <c r="H7" s="324"/>
      <c r="I7" s="104">
        <f t="shared" si="0"/>
        <v>0</v>
      </c>
      <c r="J7" s="325"/>
      <c r="K7" s="325" t="str">
        <f t="shared" si="1"/>
        <v/>
      </c>
      <c r="L7" s="334"/>
      <c r="M7" s="335" t="str">
        <f t="shared" ref="M7:M65" si="5">IF(ISBLANK(L7),"",IF(L7="מאשר",E7,0))</f>
        <v/>
      </c>
      <c r="N7" s="336"/>
      <c r="O7" s="337">
        <f t="shared" si="2"/>
        <v>0</v>
      </c>
      <c r="P7" s="338"/>
      <c r="Q7" s="276"/>
      <c r="R7" s="147"/>
      <c r="S7" s="148"/>
      <c r="T7" s="149"/>
      <c r="U7" s="150"/>
      <c r="V7" s="151"/>
      <c r="W7" s="152">
        <f t="shared" si="3"/>
        <v>0</v>
      </c>
      <c r="X7" s="153">
        <f t="shared" si="4"/>
        <v>0</v>
      </c>
      <c r="Y7" s="148"/>
      <c r="Z7" s="145"/>
      <c r="AA7" s="12"/>
    </row>
    <row r="8" spans="1:27" x14ac:dyDescent="0.25">
      <c r="A8" s="103">
        <v>3</v>
      </c>
      <c r="B8" s="327"/>
      <c r="C8" s="325"/>
      <c r="D8" s="325"/>
      <c r="E8" s="325"/>
      <c r="F8" s="324"/>
      <c r="G8" s="324"/>
      <c r="H8" s="324"/>
      <c r="I8" s="104">
        <f t="shared" si="0"/>
        <v>0</v>
      </c>
      <c r="J8" s="325"/>
      <c r="K8" s="325" t="str">
        <f t="shared" si="1"/>
        <v/>
      </c>
      <c r="L8" s="334"/>
      <c r="M8" s="335" t="str">
        <f t="shared" si="5"/>
        <v/>
      </c>
      <c r="N8" s="336"/>
      <c r="O8" s="337">
        <f t="shared" si="2"/>
        <v>0</v>
      </c>
      <c r="P8" s="338"/>
      <c r="Q8" s="276"/>
      <c r="R8" s="147"/>
      <c r="S8" s="148"/>
      <c r="T8" s="149"/>
      <c r="U8" s="150"/>
      <c r="V8" s="151"/>
      <c r="W8" s="152">
        <f t="shared" si="3"/>
        <v>0</v>
      </c>
      <c r="X8" s="153">
        <f t="shared" si="4"/>
        <v>0</v>
      </c>
      <c r="Y8" s="148"/>
      <c r="Z8" s="145"/>
      <c r="AA8" s="12"/>
    </row>
    <row r="9" spans="1:27" x14ac:dyDescent="0.25">
      <c r="A9" s="103">
        <v>4</v>
      </c>
      <c r="B9" s="327"/>
      <c r="C9" s="325"/>
      <c r="D9" s="325"/>
      <c r="E9" s="325"/>
      <c r="F9" s="324"/>
      <c r="G9" s="324"/>
      <c r="H9" s="324"/>
      <c r="I9" s="104">
        <f t="shared" si="0"/>
        <v>0</v>
      </c>
      <c r="J9" s="325"/>
      <c r="K9" s="325" t="str">
        <f t="shared" si="1"/>
        <v/>
      </c>
      <c r="L9" s="334"/>
      <c r="M9" s="335" t="str">
        <f t="shared" si="5"/>
        <v/>
      </c>
      <c r="N9" s="336"/>
      <c r="O9" s="337">
        <f t="shared" si="2"/>
        <v>0</v>
      </c>
      <c r="P9" s="338"/>
      <c r="Q9" s="276"/>
      <c r="R9" s="147"/>
      <c r="S9" s="148"/>
      <c r="T9" s="149"/>
      <c r="U9" s="150"/>
      <c r="V9" s="151"/>
      <c r="W9" s="152">
        <f t="shared" si="3"/>
        <v>0</v>
      </c>
      <c r="X9" s="153">
        <f t="shared" si="4"/>
        <v>0</v>
      </c>
      <c r="Y9" s="148"/>
      <c r="Z9" s="145"/>
      <c r="AA9" s="12"/>
    </row>
    <row r="10" spans="1:27" x14ac:dyDescent="0.25">
      <c r="A10" s="103">
        <v>5</v>
      </c>
      <c r="B10" s="328"/>
      <c r="C10" s="325"/>
      <c r="D10" s="325"/>
      <c r="E10" s="325"/>
      <c r="F10" s="324"/>
      <c r="G10" s="324"/>
      <c r="H10" s="324"/>
      <c r="I10" s="104">
        <f t="shared" si="0"/>
        <v>0</v>
      </c>
      <c r="J10" s="325"/>
      <c r="K10" s="325" t="str">
        <f t="shared" si="1"/>
        <v/>
      </c>
      <c r="L10" s="334"/>
      <c r="M10" s="335" t="str">
        <f t="shared" si="5"/>
        <v/>
      </c>
      <c r="N10" s="336"/>
      <c r="O10" s="337">
        <f t="shared" si="2"/>
        <v>0</v>
      </c>
      <c r="P10" s="338"/>
      <c r="Q10" s="276"/>
      <c r="R10" s="147"/>
      <c r="S10" s="148"/>
      <c r="T10" s="149"/>
      <c r="U10" s="150"/>
      <c r="V10" s="151"/>
      <c r="W10" s="152">
        <f t="shared" si="3"/>
        <v>0</v>
      </c>
      <c r="X10" s="153">
        <f t="shared" si="4"/>
        <v>0</v>
      </c>
      <c r="Y10" s="148"/>
      <c r="Z10" s="145"/>
      <c r="AA10" s="12"/>
    </row>
    <row r="11" spans="1:27" x14ac:dyDescent="0.25">
      <c r="A11" s="103">
        <v>6</v>
      </c>
      <c r="B11" s="326"/>
      <c r="C11" s="325"/>
      <c r="D11" s="325"/>
      <c r="E11" s="325"/>
      <c r="F11" s="324"/>
      <c r="G11" s="324"/>
      <c r="H11" s="324"/>
      <c r="I11" s="104">
        <f t="shared" si="0"/>
        <v>0</v>
      </c>
      <c r="J11" s="325"/>
      <c r="K11" s="325" t="str">
        <f t="shared" si="1"/>
        <v/>
      </c>
      <c r="L11" s="334"/>
      <c r="M11" s="335" t="str">
        <f t="shared" si="5"/>
        <v/>
      </c>
      <c r="N11" s="336"/>
      <c r="O11" s="337">
        <f t="shared" si="2"/>
        <v>0</v>
      </c>
      <c r="P11" s="338"/>
      <c r="Q11" s="276"/>
      <c r="R11" s="147"/>
      <c r="S11" s="148"/>
      <c r="T11" s="149"/>
      <c r="U11" s="150"/>
      <c r="V11" s="151"/>
      <c r="W11" s="152">
        <f t="shared" si="3"/>
        <v>0</v>
      </c>
      <c r="X11" s="153">
        <f t="shared" si="4"/>
        <v>0</v>
      </c>
      <c r="Y11" s="148"/>
      <c r="Z11" s="145"/>
      <c r="AA11" s="12"/>
    </row>
    <row r="12" spans="1:27" x14ac:dyDescent="0.25">
      <c r="A12" s="103">
        <v>7</v>
      </c>
      <c r="B12" s="327"/>
      <c r="C12" s="325"/>
      <c r="D12" s="325"/>
      <c r="E12" s="325"/>
      <c r="F12" s="324"/>
      <c r="G12" s="324"/>
      <c r="H12" s="324"/>
      <c r="I12" s="104">
        <f t="shared" si="0"/>
        <v>0</v>
      </c>
      <c r="J12" s="325"/>
      <c r="K12" s="325" t="str">
        <f t="shared" si="1"/>
        <v/>
      </c>
      <c r="L12" s="334"/>
      <c r="M12" s="335" t="str">
        <f t="shared" si="5"/>
        <v/>
      </c>
      <c r="N12" s="336"/>
      <c r="O12" s="337">
        <f t="shared" si="2"/>
        <v>0</v>
      </c>
      <c r="P12" s="338"/>
      <c r="Q12" s="276"/>
      <c r="R12" s="147"/>
      <c r="S12" s="148"/>
      <c r="T12" s="149"/>
      <c r="U12" s="150"/>
      <c r="V12" s="151"/>
      <c r="W12" s="152">
        <f t="shared" si="3"/>
        <v>0</v>
      </c>
      <c r="X12" s="153">
        <f t="shared" si="4"/>
        <v>0</v>
      </c>
      <c r="Y12" s="148"/>
      <c r="Z12" s="145"/>
      <c r="AA12" s="12"/>
    </row>
    <row r="13" spans="1:27" x14ac:dyDescent="0.25">
      <c r="A13" s="103">
        <v>8</v>
      </c>
      <c r="B13" s="327"/>
      <c r="C13" s="325"/>
      <c r="D13" s="325"/>
      <c r="E13" s="325"/>
      <c r="F13" s="324"/>
      <c r="G13" s="324"/>
      <c r="H13" s="324"/>
      <c r="I13" s="104">
        <f t="shared" si="0"/>
        <v>0</v>
      </c>
      <c r="J13" s="325"/>
      <c r="K13" s="325" t="str">
        <f t="shared" si="1"/>
        <v/>
      </c>
      <c r="L13" s="334"/>
      <c r="M13" s="335" t="str">
        <f t="shared" si="5"/>
        <v/>
      </c>
      <c r="N13" s="336"/>
      <c r="O13" s="337">
        <f t="shared" si="2"/>
        <v>0</v>
      </c>
      <c r="P13" s="338"/>
      <c r="Q13" s="276"/>
      <c r="R13" s="147"/>
      <c r="S13" s="148"/>
      <c r="T13" s="149"/>
      <c r="U13" s="150"/>
      <c r="V13" s="151"/>
      <c r="W13" s="152">
        <f t="shared" si="3"/>
        <v>0</v>
      </c>
      <c r="X13" s="153">
        <f t="shared" si="4"/>
        <v>0</v>
      </c>
      <c r="Y13" s="148"/>
      <c r="Z13" s="145"/>
      <c r="AA13" s="12"/>
    </row>
    <row r="14" spans="1:27" x14ac:dyDescent="0.25">
      <c r="A14" s="103">
        <v>9</v>
      </c>
      <c r="B14" s="327"/>
      <c r="C14" s="325"/>
      <c r="D14" s="325"/>
      <c r="E14" s="325"/>
      <c r="F14" s="324"/>
      <c r="G14" s="324"/>
      <c r="H14" s="324"/>
      <c r="I14" s="104">
        <f t="shared" si="0"/>
        <v>0</v>
      </c>
      <c r="J14" s="325"/>
      <c r="K14" s="325" t="str">
        <f t="shared" si="1"/>
        <v/>
      </c>
      <c r="L14" s="334"/>
      <c r="M14" s="335" t="str">
        <f t="shared" si="5"/>
        <v/>
      </c>
      <c r="N14" s="336"/>
      <c r="O14" s="337">
        <f t="shared" si="2"/>
        <v>0</v>
      </c>
      <c r="P14" s="338"/>
      <c r="Q14" s="276"/>
      <c r="R14" s="147"/>
      <c r="S14" s="148"/>
      <c r="T14" s="149"/>
      <c r="U14" s="150"/>
      <c r="V14" s="151"/>
      <c r="W14" s="152">
        <f t="shared" si="3"/>
        <v>0</v>
      </c>
      <c r="X14" s="153">
        <f t="shared" si="4"/>
        <v>0</v>
      </c>
      <c r="Y14" s="148"/>
      <c r="Z14" s="145"/>
      <c r="AA14" s="12"/>
    </row>
    <row r="15" spans="1:27" x14ac:dyDescent="0.25">
      <c r="A15" s="103">
        <v>10</v>
      </c>
      <c r="B15" s="328"/>
      <c r="C15" s="325"/>
      <c r="D15" s="325"/>
      <c r="E15" s="325"/>
      <c r="F15" s="324"/>
      <c r="G15" s="324"/>
      <c r="H15" s="324"/>
      <c r="I15" s="104">
        <f t="shared" si="0"/>
        <v>0</v>
      </c>
      <c r="J15" s="325"/>
      <c r="K15" s="325" t="str">
        <f t="shared" si="1"/>
        <v/>
      </c>
      <c r="L15" s="334"/>
      <c r="M15" s="335" t="str">
        <f t="shared" si="5"/>
        <v/>
      </c>
      <c r="N15" s="336"/>
      <c r="O15" s="337">
        <f t="shared" si="2"/>
        <v>0</v>
      </c>
      <c r="P15" s="338"/>
      <c r="Q15" s="276"/>
      <c r="R15" s="147"/>
      <c r="S15" s="148"/>
      <c r="T15" s="149"/>
      <c r="U15" s="150"/>
      <c r="V15" s="151"/>
      <c r="W15" s="152">
        <f t="shared" si="3"/>
        <v>0</v>
      </c>
      <c r="X15" s="153">
        <f t="shared" si="4"/>
        <v>0</v>
      </c>
      <c r="Y15" s="148"/>
      <c r="Z15" s="145"/>
      <c r="AA15" s="12"/>
    </row>
    <row r="16" spans="1:27" x14ac:dyDescent="0.25">
      <c r="A16" s="103">
        <v>11</v>
      </c>
      <c r="B16" s="326"/>
      <c r="C16" s="325"/>
      <c r="D16" s="325"/>
      <c r="E16" s="325"/>
      <c r="F16" s="324"/>
      <c r="G16" s="324"/>
      <c r="H16" s="324"/>
      <c r="I16" s="104">
        <f t="shared" si="0"/>
        <v>0</v>
      </c>
      <c r="J16" s="325"/>
      <c r="K16" s="325" t="str">
        <f t="shared" si="1"/>
        <v/>
      </c>
      <c r="L16" s="334"/>
      <c r="M16" s="335" t="str">
        <f t="shared" si="5"/>
        <v/>
      </c>
      <c r="N16" s="336"/>
      <c r="O16" s="337">
        <f t="shared" si="2"/>
        <v>0</v>
      </c>
      <c r="P16" s="338"/>
      <c r="Q16" s="276"/>
      <c r="R16" s="147"/>
      <c r="S16" s="148"/>
      <c r="T16" s="149"/>
      <c r="U16" s="150"/>
      <c r="V16" s="151"/>
      <c r="W16" s="152">
        <f t="shared" si="3"/>
        <v>0</v>
      </c>
      <c r="X16" s="153">
        <f t="shared" si="4"/>
        <v>0</v>
      </c>
      <c r="Y16" s="148"/>
      <c r="Z16" s="145"/>
      <c r="AA16" s="12"/>
    </row>
    <row r="17" spans="1:27" x14ac:dyDescent="0.25">
      <c r="A17" s="103">
        <v>12</v>
      </c>
      <c r="B17" s="327"/>
      <c r="C17" s="325"/>
      <c r="D17" s="325"/>
      <c r="E17" s="325"/>
      <c r="F17" s="324"/>
      <c r="G17" s="324"/>
      <c r="H17" s="324"/>
      <c r="I17" s="104">
        <f t="shared" si="0"/>
        <v>0</v>
      </c>
      <c r="J17" s="325"/>
      <c r="K17" s="325" t="str">
        <f t="shared" si="1"/>
        <v/>
      </c>
      <c r="L17" s="334"/>
      <c r="M17" s="335" t="str">
        <f t="shared" si="5"/>
        <v/>
      </c>
      <c r="N17" s="336"/>
      <c r="O17" s="337">
        <f t="shared" si="2"/>
        <v>0</v>
      </c>
      <c r="P17" s="338"/>
      <c r="Q17" s="276"/>
      <c r="R17" s="147"/>
      <c r="S17" s="148"/>
      <c r="T17" s="149"/>
      <c r="U17" s="150"/>
      <c r="V17" s="151"/>
      <c r="W17" s="152">
        <f t="shared" si="3"/>
        <v>0</v>
      </c>
      <c r="X17" s="153">
        <f t="shared" si="4"/>
        <v>0</v>
      </c>
      <c r="Y17" s="148"/>
      <c r="Z17" s="145"/>
      <c r="AA17" s="12"/>
    </row>
    <row r="18" spans="1:27" x14ac:dyDescent="0.25">
      <c r="A18" s="103">
        <v>13</v>
      </c>
      <c r="B18" s="327"/>
      <c r="C18" s="325"/>
      <c r="D18" s="325"/>
      <c r="E18" s="325"/>
      <c r="F18" s="324"/>
      <c r="G18" s="324"/>
      <c r="H18" s="324"/>
      <c r="I18" s="104">
        <f t="shared" si="0"/>
        <v>0</v>
      </c>
      <c r="J18" s="325"/>
      <c r="K18" s="325" t="str">
        <f t="shared" si="1"/>
        <v/>
      </c>
      <c r="L18" s="334"/>
      <c r="M18" s="335" t="str">
        <f t="shared" si="5"/>
        <v/>
      </c>
      <c r="N18" s="336"/>
      <c r="O18" s="337">
        <f t="shared" si="2"/>
        <v>0</v>
      </c>
      <c r="P18" s="338"/>
      <c r="Q18" s="276"/>
      <c r="R18" s="147"/>
      <c r="S18" s="148"/>
      <c r="T18" s="149"/>
      <c r="U18" s="150"/>
      <c r="V18" s="151"/>
      <c r="W18" s="152">
        <f t="shared" si="3"/>
        <v>0</v>
      </c>
      <c r="X18" s="153">
        <f t="shared" si="4"/>
        <v>0</v>
      </c>
      <c r="Y18" s="148"/>
      <c r="Z18" s="145"/>
      <c r="AA18" s="12"/>
    </row>
    <row r="19" spans="1:27" x14ac:dyDescent="0.25">
      <c r="A19" s="103">
        <v>14</v>
      </c>
      <c r="B19" s="327"/>
      <c r="C19" s="325"/>
      <c r="D19" s="325"/>
      <c r="E19" s="325"/>
      <c r="F19" s="324"/>
      <c r="G19" s="324"/>
      <c r="H19" s="324"/>
      <c r="I19" s="104">
        <f t="shared" si="0"/>
        <v>0</v>
      </c>
      <c r="J19" s="325"/>
      <c r="K19" s="325" t="str">
        <f t="shared" si="1"/>
        <v/>
      </c>
      <c r="L19" s="334"/>
      <c r="M19" s="335" t="str">
        <f t="shared" si="5"/>
        <v/>
      </c>
      <c r="N19" s="336"/>
      <c r="O19" s="337">
        <f t="shared" si="2"/>
        <v>0</v>
      </c>
      <c r="P19" s="338"/>
      <c r="Q19" s="276"/>
      <c r="R19" s="147"/>
      <c r="S19" s="148"/>
      <c r="T19" s="149"/>
      <c r="U19" s="150"/>
      <c r="V19" s="151"/>
      <c r="W19" s="152">
        <f t="shared" si="3"/>
        <v>0</v>
      </c>
      <c r="X19" s="153">
        <f t="shared" si="4"/>
        <v>0</v>
      </c>
      <c r="Y19" s="148"/>
      <c r="Z19" s="145"/>
      <c r="AA19" s="12"/>
    </row>
    <row r="20" spans="1:27" x14ac:dyDescent="0.25">
      <c r="A20" s="103">
        <v>15</v>
      </c>
      <c r="B20" s="328"/>
      <c r="C20" s="325"/>
      <c r="D20" s="325"/>
      <c r="E20" s="325"/>
      <c r="F20" s="324"/>
      <c r="G20" s="324"/>
      <c r="H20" s="324"/>
      <c r="I20" s="104">
        <f t="shared" si="0"/>
        <v>0</v>
      </c>
      <c r="J20" s="325"/>
      <c r="K20" s="325" t="str">
        <f t="shared" si="1"/>
        <v/>
      </c>
      <c r="L20" s="334"/>
      <c r="M20" s="335" t="str">
        <f t="shared" si="5"/>
        <v/>
      </c>
      <c r="N20" s="336"/>
      <c r="O20" s="337">
        <f t="shared" si="2"/>
        <v>0</v>
      </c>
      <c r="P20" s="338"/>
      <c r="Q20" s="276"/>
      <c r="R20" s="147"/>
      <c r="S20" s="148"/>
      <c r="T20" s="149"/>
      <c r="U20" s="150"/>
      <c r="V20" s="151"/>
      <c r="W20" s="152">
        <f t="shared" si="3"/>
        <v>0</v>
      </c>
      <c r="X20" s="153">
        <f t="shared" si="4"/>
        <v>0</v>
      </c>
      <c r="Y20" s="148"/>
      <c r="Z20" s="145"/>
      <c r="AA20" s="12"/>
    </row>
    <row r="21" spans="1:27" x14ac:dyDescent="0.25">
      <c r="A21" s="103">
        <v>16</v>
      </c>
      <c r="B21" s="326"/>
      <c r="C21" s="325"/>
      <c r="D21" s="325"/>
      <c r="E21" s="325"/>
      <c r="F21" s="324"/>
      <c r="G21" s="324"/>
      <c r="H21" s="324"/>
      <c r="I21" s="104">
        <f t="shared" si="0"/>
        <v>0</v>
      </c>
      <c r="J21" s="325"/>
      <c r="K21" s="325" t="str">
        <f t="shared" si="1"/>
        <v/>
      </c>
      <c r="L21" s="334"/>
      <c r="M21" s="335" t="str">
        <f t="shared" si="5"/>
        <v/>
      </c>
      <c r="N21" s="336"/>
      <c r="O21" s="337">
        <f t="shared" si="2"/>
        <v>0</v>
      </c>
      <c r="P21" s="338"/>
      <c r="Q21" s="276"/>
      <c r="R21" s="147"/>
      <c r="S21" s="148"/>
      <c r="T21" s="149"/>
      <c r="U21" s="150"/>
      <c r="V21" s="151"/>
      <c r="W21" s="152">
        <f t="shared" si="3"/>
        <v>0</v>
      </c>
      <c r="X21" s="153">
        <f t="shared" si="4"/>
        <v>0</v>
      </c>
      <c r="Y21" s="148"/>
      <c r="Z21" s="145"/>
      <c r="AA21" s="12"/>
    </row>
    <row r="22" spans="1:27" x14ac:dyDescent="0.25">
      <c r="A22" s="103">
        <v>17</v>
      </c>
      <c r="B22" s="327"/>
      <c r="C22" s="325"/>
      <c r="D22" s="325"/>
      <c r="E22" s="325"/>
      <c r="F22" s="324"/>
      <c r="G22" s="324"/>
      <c r="H22" s="324"/>
      <c r="I22" s="104">
        <f t="shared" si="0"/>
        <v>0</v>
      </c>
      <c r="J22" s="325"/>
      <c r="K22" s="325" t="str">
        <f t="shared" si="1"/>
        <v/>
      </c>
      <c r="L22" s="334"/>
      <c r="M22" s="335" t="str">
        <f t="shared" si="5"/>
        <v/>
      </c>
      <c r="N22" s="336"/>
      <c r="O22" s="337">
        <f t="shared" si="2"/>
        <v>0</v>
      </c>
      <c r="P22" s="338"/>
      <c r="Q22" s="276"/>
      <c r="R22" s="147"/>
      <c r="S22" s="148"/>
      <c r="T22" s="149"/>
      <c r="U22" s="150"/>
      <c r="V22" s="151"/>
      <c r="W22" s="152">
        <f t="shared" si="3"/>
        <v>0</v>
      </c>
      <c r="X22" s="153">
        <f t="shared" si="4"/>
        <v>0</v>
      </c>
      <c r="Y22" s="148"/>
      <c r="Z22" s="145"/>
      <c r="AA22" s="12"/>
    </row>
    <row r="23" spans="1:27" x14ac:dyDescent="0.25">
      <c r="A23" s="103">
        <v>18</v>
      </c>
      <c r="B23" s="327"/>
      <c r="C23" s="325"/>
      <c r="D23" s="325"/>
      <c r="E23" s="325"/>
      <c r="F23" s="324"/>
      <c r="G23" s="324"/>
      <c r="H23" s="324"/>
      <c r="I23" s="104">
        <f t="shared" si="0"/>
        <v>0</v>
      </c>
      <c r="J23" s="325"/>
      <c r="K23" s="325" t="str">
        <f t="shared" si="1"/>
        <v/>
      </c>
      <c r="L23" s="334"/>
      <c r="M23" s="335" t="str">
        <f t="shared" si="5"/>
        <v/>
      </c>
      <c r="N23" s="336"/>
      <c r="O23" s="337">
        <f t="shared" si="2"/>
        <v>0</v>
      </c>
      <c r="P23" s="338"/>
      <c r="Q23" s="276"/>
      <c r="R23" s="147"/>
      <c r="S23" s="148"/>
      <c r="T23" s="149"/>
      <c r="U23" s="150"/>
      <c r="V23" s="151"/>
      <c r="W23" s="152">
        <f t="shared" si="3"/>
        <v>0</v>
      </c>
      <c r="X23" s="153">
        <f t="shared" si="4"/>
        <v>0</v>
      </c>
      <c r="Y23" s="148"/>
      <c r="Z23" s="145"/>
      <c r="AA23" s="12"/>
    </row>
    <row r="24" spans="1:27" x14ac:dyDescent="0.25">
      <c r="A24" s="103">
        <v>19</v>
      </c>
      <c r="B24" s="327"/>
      <c r="C24" s="325"/>
      <c r="D24" s="325"/>
      <c r="E24" s="325"/>
      <c r="F24" s="324"/>
      <c r="G24" s="324"/>
      <c r="H24" s="324"/>
      <c r="I24" s="104">
        <f t="shared" si="0"/>
        <v>0</v>
      </c>
      <c r="J24" s="325"/>
      <c r="K24" s="325" t="str">
        <f t="shared" si="1"/>
        <v/>
      </c>
      <c r="L24" s="334"/>
      <c r="M24" s="335" t="str">
        <f t="shared" si="5"/>
        <v/>
      </c>
      <c r="N24" s="336"/>
      <c r="O24" s="337">
        <f t="shared" si="2"/>
        <v>0</v>
      </c>
      <c r="P24" s="338"/>
      <c r="Q24" s="276"/>
      <c r="R24" s="147"/>
      <c r="S24" s="148"/>
      <c r="T24" s="149"/>
      <c r="U24" s="150"/>
      <c r="V24" s="151"/>
      <c r="W24" s="152">
        <f t="shared" si="3"/>
        <v>0</v>
      </c>
      <c r="X24" s="153">
        <f t="shared" si="4"/>
        <v>0</v>
      </c>
      <c r="Y24" s="148"/>
      <c r="Z24" s="145"/>
      <c r="AA24" s="12"/>
    </row>
    <row r="25" spans="1:27" x14ac:dyDescent="0.25">
      <c r="A25" s="103">
        <v>20</v>
      </c>
      <c r="B25" s="328"/>
      <c r="C25" s="325"/>
      <c r="D25" s="325"/>
      <c r="E25" s="325"/>
      <c r="F25" s="324"/>
      <c r="G25" s="324"/>
      <c r="H25" s="324"/>
      <c r="I25" s="104">
        <f t="shared" si="0"/>
        <v>0</v>
      </c>
      <c r="J25" s="325"/>
      <c r="K25" s="325" t="str">
        <f t="shared" si="1"/>
        <v/>
      </c>
      <c r="L25" s="334"/>
      <c r="M25" s="335" t="str">
        <f t="shared" si="5"/>
        <v/>
      </c>
      <c r="N25" s="336"/>
      <c r="O25" s="337">
        <f t="shared" si="2"/>
        <v>0</v>
      </c>
      <c r="P25" s="338"/>
      <c r="Q25" s="276"/>
      <c r="R25" s="147"/>
      <c r="S25" s="148"/>
      <c r="T25" s="149"/>
      <c r="U25" s="150"/>
      <c r="V25" s="151"/>
      <c r="W25" s="152">
        <f t="shared" si="3"/>
        <v>0</v>
      </c>
      <c r="X25" s="153">
        <f t="shared" si="4"/>
        <v>0</v>
      </c>
      <c r="Y25" s="148"/>
      <c r="Z25" s="145"/>
      <c r="AA25" s="12"/>
    </row>
    <row r="26" spans="1:27" x14ac:dyDescent="0.25">
      <c r="A26" s="103">
        <v>21</v>
      </c>
      <c r="B26" s="326"/>
      <c r="C26" s="325"/>
      <c r="D26" s="325"/>
      <c r="E26" s="325"/>
      <c r="F26" s="324"/>
      <c r="G26" s="324"/>
      <c r="H26" s="324"/>
      <c r="I26" s="104">
        <f t="shared" si="0"/>
        <v>0</v>
      </c>
      <c r="J26" s="325"/>
      <c r="K26" s="325" t="str">
        <f t="shared" si="1"/>
        <v/>
      </c>
      <c r="L26" s="334"/>
      <c r="M26" s="335" t="str">
        <f t="shared" si="5"/>
        <v/>
      </c>
      <c r="N26" s="336"/>
      <c r="O26" s="337">
        <f t="shared" si="2"/>
        <v>0</v>
      </c>
      <c r="P26" s="338"/>
      <c r="Q26" s="276"/>
      <c r="R26" s="147"/>
      <c r="S26" s="148"/>
      <c r="T26" s="149"/>
      <c r="U26" s="150"/>
      <c r="V26" s="151"/>
      <c r="W26" s="152">
        <f t="shared" si="3"/>
        <v>0</v>
      </c>
      <c r="X26" s="153">
        <f t="shared" si="4"/>
        <v>0</v>
      </c>
      <c r="Y26" s="148"/>
      <c r="Z26" s="145"/>
      <c r="AA26" s="12"/>
    </row>
    <row r="27" spans="1:27" x14ac:dyDescent="0.25">
      <c r="A27" s="103">
        <v>22</v>
      </c>
      <c r="B27" s="327"/>
      <c r="C27" s="325"/>
      <c r="D27" s="325"/>
      <c r="E27" s="325"/>
      <c r="F27" s="324"/>
      <c r="G27" s="324"/>
      <c r="H27" s="324"/>
      <c r="I27" s="104">
        <f t="shared" si="0"/>
        <v>0</v>
      </c>
      <c r="J27" s="325"/>
      <c r="K27" s="325" t="str">
        <f t="shared" si="1"/>
        <v/>
      </c>
      <c r="L27" s="334"/>
      <c r="M27" s="335" t="str">
        <f t="shared" si="5"/>
        <v/>
      </c>
      <c r="N27" s="336"/>
      <c r="O27" s="337">
        <f t="shared" si="2"/>
        <v>0</v>
      </c>
      <c r="P27" s="338"/>
      <c r="Q27" s="276"/>
      <c r="R27" s="147"/>
      <c r="S27" s="148"/>
      <c r="T27" s="149"/>
      <c r="U27" s="150"/>
      <c r="V27" s="151"/>
      <c r="W27" s="152">
        <f t="shared" si="3"/>
        <v>0</v>
      </c>
      <c r="X27" s="153">
        <f t="shared" si="4"/>
        <v>0</v>
      </c>
      <c r="Y27" s="148"/>
      <c r="Z27" s="145"/>
      <c r="AA27" s="12"/>
    </row>
    <row r="28" spans="1:27" x14ac:dyDescent="0.25">
      <c r="A28" s="103">
        <v>23</v>
      </c>
      <c r="B28" s="327"/>
      <c r="C28" s="325"/>
      <c r="D28" s="325"/>
      <c r="E28" s="325"/>
      <c r="F28" s="324"/>
      <c r="G28" s="324"/>
      <c r="H28" s="324"/>
      <c r="I28" s="104">
        <f t="shared" si="0"/>
        <v>0</v>
      </c>
      <c r="J28" s="325"/>
      <c r="K28" s="325" t="str">
        <f t="shared" si="1"/>
        <v/>
      </c>
      <c r="L28" s="334"/>
      <c r="M28" s="335" t="str">
        <f t="shared" si="5"/>
        <v/>
      </c>
      <c r="N28" s="336"/>
      <c r="O28" s="337">
        <f t="shared" si="2"/>
        <v>0</v>
      </c>
      <c r="P28" s="338"/>
      <c r="Q28" s="276"/>
      <c r="R28" s="147"/>
      <c r="S28" s="148"/>
      <c r="T28" s="149"/>
      <c r="U28" s="150"/>
      <c r="V28" s="151"/>
      <c r="W28" s="152">
        <f t="shared" si="3"/>
        <v>0</v>
      </c>
      <c r="X28" s="153">
        <f t="shared" si="4"/>
        <v>0</v>
      </c>
      <c r="Y28" s="148"/>
      <c r="Z28" s="145"/>
      <c r="AA28" s="12"/>
    </row>
    <row r="29" spans="1:27" x14ac:dyDescent="0.25">
      <c r="A29" s="103">
        <v>24</v>
      </c>
      <c r="B29" s="327"/>
      <c r="C29" s="325"/>
      <c r="D29" s="325"/>
      <c r="E29" s="325"/>
      <c r="F29" s="324"/>
      <c r="G29" s="324"/>
      <c r="H29" s="324"/>
      <c r="I29" s="104">
        <f t="shared" si="0"/>
        <v>0</v>
      </c>
      <c r="J29" s="325"/>
      <c r="K29" s="325" t="str">
        <f t="shared" si="1"/>
        <v/>
      </c>
      <c r="L29" s="334"/>
      <c r="M29" s="335" t="str">
        <f t="shared" si="5"/>
        <v/>
      </c>
      <c r="N29" s="336"/>
      <c r="O29" s="337">
        <f t="shared" si="2"/>
        <v>0</v>
      </c>
      <c r="P29" s="338"/>
      <c r="Q29" s="276"/>
      <c r="R29" s="147"/>
      <c r="S29" s="148"/>
      <c r="T29" s="149"/>
      <c r="U29" s="150"/>
      <c r="V29" s="151"/>
      <c r="W29" s="152">
        <f t="shared" si="3"/>
        <v>0</v>
      </c>
      <c r="X29" s="153">
        <f t="shared" si="4"/>
        <v>0</v>
      </c>
      <c r="Y29" s="148"/>
      <c r="Z29" s="145"/>
      <c r="AA29" s="12"/>
    </row>
    <row r="30" spans="1:27" x14ac:dyDescent="0.25">
      <c r="A30" s="103">
        <v>25</v>
      </c>
      <c r="B30" s="328"/>
      <c r="C30" s="325"/>
      <c r="D30" s="325"/>
      <c r="E30" s="325"/>
      <c r="F30" s="324"/>
      <c r="G30" s="324"/>
      <c r="H30" s="324"/>
      <c r="I30" s="104">
        <f t="shared" si="0"/>
        <v>0</v>
      </c>
      <c r="J30" s="325"/>
      <c r="K30" s="325" t="str">
        <f t="shared" si="1"/>
        <v/>
      </c>
      <c r="L30" s="334"/>
      <c r="M30" s="335" t="str">
        <f t="shared" si="5"/>
        <v/>
      </c>
      <c r="N30" s="336"/>
      <c r="O30" s="337">
        <f t="shared" si="2"/>
        <v>0</v>
      </c>
      <c r="P30" s="338"/>
      <c r="Q30" s="276"/>
      <c r="R30" s="147"/>
      <c r="S30" s="148"/>
      <c r="T30" s="149"/>
      <c r="U30" s="150"/>
      <c r="V30" s="151"/>
      <c r="W30" s="152">
        <f t="shared" si="3"/>
        <v>0</v>
      </c>
      <c r="X30" s="153">
        <f t="shared" si="4"/>
        <v>0</v>
      </c>
      <c r="Y30" s="148"/>
      <c r="Z30" s="145"/>
      <c r="AA30" s="12"/>
    </row>
    <row r="31" spans="1:27" hidden="1" outlineLevel="1" x14ac:dyDescent="0.25">
      <c r="A31" s="103">
        <v>26</v>
      </c>
      <c r="B31" s="326"/>
      <c r="C31" s="325"/>
      <c r="D31" s="325"/>
      <c r="E31" s="325"/>
      <c r="F31" s="324"/>
      <c r="G31" s="324"/>
      <c r="H31" s="324"/>
      <c r="I31" s="104">
        <f t="shared" si="0"/>
        <v>0</v>
      </c>
      <c r="J31" s="325"/>
      <c r="K31" s="325" t="str">
        <f t="shared" si="1"/>
        <v/>
      </c>
      <c r="L31" s="334"/>
      <c r="M31" s="335" t="str">
        <f t="shared" si="5"/>
        <v/>
      </c>
      <c r="N31" s="336"/>
      <c r="O31" s="337">
        <f t="shared" si="2"/>
        <v>0</v>
      </c>
      <c r="P31" s="338"/>
      <c r="Q31" s="276"/>
      <c r="R31" s="147"/>
      <c r="S31" s="148"/>
      <c r="T31" s="149"/>
      <c r="U31" s="150"/>
      <c r="V31" s="151">
        <f t="shared" ref="V31:V37" si="6">O31*1.5</f>
        <v>0</v>
      </c>
      <c r="W31" s="152">
        <f t="shared" si="3"/>
        <v>0</v>
      </c>
      <c r="X31" s="153">
        <f t="shared" si="4"/>
        <v>0</v>
      </c>
      <c r="Y31" s="148"/>
      <c r="Z31" s="145"/>
      <c r="AA31" s="12"/>
    </row>
    <row r="32" spans="1:27" hidden="1" outlineLevel="1" x14ac:dyDescent="0.25">
      <c r="A32" s="103">
        <v>27</v>
      </c>
      <c r="B32" s="327"/>
      <c r="C32" s="325"/>
      <c r="D32" s="325"/>
      <c r="E32" s="325"/>
      <c r="F32" s="324"/>
      <c r="G32" s="324"/>
      <c r="H32" s="324"/>
      <c r="I32" s="104">
        <f t="shared" si="0"/>
        <v>0</v>
      </c>
      <c r="J32" s="325"/>
      <c r="K32" s="325" t="str">
        <f t="shared" si="1"/>
        <v/>
      </c>
      <c r="L32" s="334"/>
      <c r="M32" s="335" t="str">
        <f t="shared" si="5"/>
        <v/>
      </c>
      <c r="N32" s="336"/>
      <c r="O32" s="337">
        <f t="shared" si="2"/>
        <v>0</v>
      </c>
      <c r="P32" s="338"/>
      <c r="Q32" s="276"/>
      <c r="R32" s="147"/>
      <c r="S32" s="148"/>
      <c r="T32" s="149"/>
      <c r="U32" s="150"/>
      <c r="V32" s="151">
        <f t="shared" si="6"/>
        <v>0</v>
      </c>
      <c r="W32" s="152">
        <f t="shared" si="3"/>
        <v>0</v>
      </c>
      <c r="X32" s="153">
        <f t="shared" si="4"/>
        <v>0</v>
      </c>
      <c r="Y32" s="148"/>
      <c r="Z32" s="145"/>
      <c r="AA32" s="12"/>
    </row>
    <row r="33" spans="1:27" hidden="1" outlineLevel="1" x14ac:dyDescent="0.25">
      <c r="A33" s="103">
        <v>28</v>
      </c>
      <c r="B33" s="327"/>
      <c r="C33" s="325"/>
      <c r="D33" s="325"/>
      <c r="E33" s="325"/>
      <c r="F33" s="324"/>
      <c r="G33" s="324"/>
      <c r="H33" s="324"/>
      <c r="I33" s="104">
        <f t="shared" si="0"/>
        <v>0</v>
      </c>
      <c r="J33" s="325"/>
      <c r="K33" s="325" t="str">
        <f t="shared" si="1"/>
        <v/>
      </c>
      <c r="L33" s="334"/>
      <c r="M33" s="335" t="str">
        <f t="shared" si="5"/>
        <v/>
      </c>
      <c r="N33" s="336"/>
      <c r="O33" s="337">
        <f t="shared" si="2"/>
        <v>0</v>
      </c>
      <c r="P33" s="338"/>
      <c r="Q33" s="276"/>
      <c r="R33" s="147"/>
      <c r="S33" s="148"/>
      <c r="T33" s="149"/>
      <c r="U33" s="150"/>
      <c r="V33" s="151">
        <f t="shared" si="6"/>
        <v>0</v>
      </c>
      <c r="W33" s="152">
        <f t="shared" si="3"/>
        <v>0</v>
      </c>
      <c r="X33" s="153">
        <f t="shared" si="4"/>
        <v>0</v>
      </c>
      <c r="Y33" s="148"/>
      <c r="Z33" s="145"/>
      <c r="AA33" s="12"/>
    </row>
    <row r="34" spans="1:27" hidden="1" outlineLevel="1" x14ac:dyDescent="0.25">
      <c r="A34" s="103">
        <v>29</v>
      </c>
      <c r="B34" s="327"/>
      <c r="C34" s="325"/>
      <c r="D34" s="325"/>
      <c r="E34" s="325"/>
      <c r="F34" s="324"/>
      <c r="G34" s="324"/>
      <c r="H34" s="324"/>
      <c r="I34" s="104">
        <f t="shared" si="0"/>
        <v>0</v>
      </c>
      <c r="J34" s="325"/>
      <c r="K34" s="325" t="str">
        <f t="shared" si="1"/>
        <v/>
      </c>
      <c r="L34" s="334"/>
      <c r="M34" s="335" t="str">
        <f t="shared" si="5"/>
        <v/>
      </c>
      <c r="N34" s="336"/>
      <c r="O34" s="337">
        <f t="shared" si="2"/>
        <v>0</v>
      </c>
      <c r="P34" s="338"/>
      <c r="Q34" s="276"/>
      <c r="R34" s="147"/>
      <c r="S34" s="148"/>
      <c r="T34" s="149"/>
      <c r="U34" s="150"/>
      <c r="V34" s="151">
        <f t="shared" si="6"/>
        <v>0</v>
      </c>
      <c r="W34" s="152">
        <f t="shared" si="3"/>
        <v>0</v>
      </c>
      <c r="X34" s="153">
        <f t="shared" si="4"/>
        <v>0</v>
      </c>
      <c r="Y34" s="148"/>
      <c r="Z34" s="145"/>
      <c r="AA34" s="12"/>
    </row>
    <row r="35" spans="1:27" hidden="1" outlineLevel="1" x14ac:dyDescent="0.25">
      <c r="A35" s="103">
        <v>30</v>
      </c>
      <c r="B35" s="328"/>
      <c r="C35" s="325"/>
      <c r="D35" s="325"/>
      <c r="E35" s="325"/>
      <c r="F35" s="324"/>
      <c r="G35" s="324"/>
      <c r="H35" s="324"/>
      <c r="I35" s="104">
        <f t="shared" si="0"/>
        <v>0</v>
      </c>
      <c r="J35" s="325"/>
      <c r="K35" s="325" t="str">
        <f t="shared" si="1"/>
        <v/>
      </c>
      <c r="L35" s="334"/>
      <c r="M35" s="335" t="str">
        <f t="shared" si="5"/>
        <v/>
      </c>
      <c r="N35" s="336"/>
      <c r="O35" s="337">
        <f t="shared" si="2"/>
        <v>0</v>
      </c>
      <c r="P35" s="338"/>
      <c r="Q35" s="276"/>
      <c r="R35" s="147"/>
      <c r="S35" s="148"/>
      <c r="T35" s="149"/>
      <c r="U35" s="150"/>
      <c r="V35" s="151">
        <f t="shared" si="6"/>
        <v>0</v>
      </c>
      <c r="W35" s="152">
        <f t="shared" si="3"/>
        <v>0</v>
      </c>
      <c r="X35" s="153">
        <f t="shared" si="4"/>
        <v>0</v>
      </c>
      <c r="Y35" s="148"/>
      <c r="Z35" s="145"/>
      <c r="AA35" s="12"/>
    </row>
    <row r="36" spans="1:27" hidden="1" outlineLevel="1" x14ac:dyDescent="0.25">
      <c r="A36" s="13">
        <v>31</v>
      </c>
      <c r="B36" s="326"/>
      <c r="C36" s="325"/>
      <c r="D36" s="325"/>
      <c r="E36" s="325"/>
      <c r="F36" s="324"/>
      <c r="G36" s="324"/>
      <c r="H36" s="324"/>
      <c r="I36" s="104">
        <f t="shared" si="0"/>
        <v>0</v>
      </c>
      <c r="J36" s="325"/>
      <c r="K36" s="325" t="str">
        <f t="shared" si="1"/>
        <v/>
      </c>
      <c r="L36" s="334"/>
      <c r="M36" s="335" t="str">
        <f t="shared" si="5"/>
        <v/>
      </c>
      <c r="N36" s="336"/>
      <c r="O36" s="337">
        <f t="shared" si="2"/>
        <v>0</v>
      </c>
      <c r="P36" s="338"/>
      <c r="Q36" s="276"/>
      <c r="R36" s="147"/>
      <c r="S36" s="148"/>
      <c r="T36" s="149"/>
      <c r="U36" s="150"/>
      <c r="V36" s="151">
        <f t="shared" si="6"/>
        <v>0</v>
      </c>
      <c r="W36" s="152">
        <f t="shared" si="3"/>
        <v>0</v>
      </c>
      <c r="X36" s="153">
        <f t="shared" si="4"/>
        <v>0</v>
      </c>
      <c r="Y36" s="148"/>
      <c r="Z36" s="145"/>
      <c r="AA36" s="12"/>
    </row>
    <row r="37" spans="1:27" hidden="1" outlineLevel="1" x14ac:dyDescent="0.25">
      <c r="A37" s="13">
        <v>32</v>
      </c>
      <c r="B37" s="327"/>
      <c r="C37" s="325"/>
      <c r="D37" s="325"/>
      <c r="E37" s="325"/>
      <c r="F37" s="324"/>
      <c r="G37" s="324"/>
      <c r="H37" s="324"/>
      <c r="I37" s="104">
        <f t="shared" si="0"/>
        <v>0</v>
      </c>
      <c r="J37" s="325"/>
      <c r="K37" s="325" t="str">
        <f t="shared" si="1"/>
        <v/>
      </c>
      <c r="L37" s="334"/>
      <c r="M37" s="335" t="str">
        <f t="shared" si="5"/>
        <v/>
      </c>
      <c r="N37" s="336"/>
      <c r="O37" s="337">
        <f t="shared" si="2"/>
        <v>0</v>
      </c>
      <c r="P37" s="338"/>
      <c r="Q37" s="276"/>
      <c r="R37" s="147"/>
      <c r="S37" s="148"/>
      <c r="T37" s="149"/>
      <c r="U37" s="150"/>
      <c r="V37" s="151">
        <f t="shared" si="6"/>
        <v>0</v>
      </c>
      <c r="W37" s="152">
        <f t="shared" si="3"/>
        <v>0</v>
      </c>
      <c r="X37" s="153">
        <f t="shared" si="4"/>
        <v>0</v>
      </c>
      <c r="Y37" s="148"/>
      <c r="Z37" s="145"/>
      <c r="AA37" s="12"/>
    </row>
    <row r="38" spans="1:27" hidden="1" outlineLevel="1" x14ac:dyDescent="0.25">
      <c r="A38" s="13">
        <v>33</v>
      </c>
      <c r="B38" s="327"/>
      <c r="C38" s="325"/>
      <c r="D38" s="325"/>
      <c r="E38" s="325"/>
      <c r="F38" s="324"/>
      <c r="G38" s="324"/>
      <c r="H38" s="324"/>
      <c r="I38" s="104">
        <f t="shared" ref="I38:I65" si="7">IF(J38="",(MIN($F38:$H38))*E38,IF(J38="הצעה א",F38*E38,IF(J38="הצעה ב",G38*E38,H38*E38)))</f>
        <v>0</v>
      </c>
      <c r="J38" s="325"/>
      <c r="K38" s="325" t="str">
        <f t="shared" ref="K38:K65" si="8">IF(J38="","","יש להסביר חריגה")</f>
        <v/>
      </c>
      <c r="L38" s="334"/>
      <c r="M38" s="335" t="str">
        <f t="shared" si="5"/>
        <v/>
      </c>
      <c r="N38" s="336"/>
      <c r="O38" s="337">
        <f t="shared" ref="O38:O65" si="9">IFERROR(IF(N38="מאושר",M38*I38/E38,M38*MIN(F38:H38)),0)</f>
        <v>0</v>
      </c>
      <c r="P38" s="338"/>
      <c r="Q38" s="276"/>
      <c r="R38" s="147"/>
      <c r="S38" s="148"/>
      <c r="T38" s="149"/>
      <c r="U38" s="150"/>
      <c r="V38" s="151">
        <f t="shared" ref="V38:V65" si="10">O38*1.5</f>
        <v>0</v>
      </c>
      <c r="W38" s="152">
        <f t="shared" ref="W38:W65" si="11">IF(V38="",0,V38-O38)</f>
        <v>0</v>
      </c>
      <c r="X38" s="153">
        <f t="shared" ref="X38:X66" si="12">IF(O38=0,0,W38/O38)</f>
        <v>0</v>
      </c>
      <c r="Y38" s="148"/>
      <c r="Z38" s="145"/>
      <c r="AA38" s="12"/>
    </row>
    <row r="39" spans="1:27" hidden="1" outlineLevel="1" x14ac:dyDescent="0.25">
      <c r="A39" s="13">
        <v>34</v>
      </c>
      <c r="B39" s="327"/>
      <c r="C39" s="325"/>
      <c r="D39" s="325"/>
      <c r="E39" s="325"/>
      <c r="F39" s="324"/>
      <c r="G39" s="324"/>
      <c r="H39" s="324"/>
      <c r="I39" s="104">
        <f t="shared" si="7"/>
        <v>0</v>
      </c>
      <c r="J39" s="325"/>
      <c r="K39" s="325" t="str">
        <f t="shared" si="8"/>
        <v/>
      </c>
      <c r="L39" s="334"/>
      <c r="M39" s="335" t="str">
        <f t="shared" si="5"/>
        <v/>
      </c>
      <c r="N39" s="336"/>
      <c r="O39" s="337">
        <f t="shared" si="9"/>
        <v>0</v>
      </c>
      <c r="P39" s="338"/>
      <c r="Q39" s="276"/>
      <c r="R39" s="147"/>
      <c r="S39" s="148"/>
      <c r="T39" s="149"/>
      <c r="U39" s="150"/>
      <c r="V39" s="151">
        <f t="shared" si="10"/>
        <v>0</v>
      </c>
      <c r="W39" s="152">
        <f t="shared" si="11"/>
        <v>0</v>
      </c>
      <c r="X39" s="153">
        <f t="shared" si="12"/>
        <v>0</v>
      </c>
      <c r="Y39" s="148"/>
      <c r="Z39" s="145"/>
      <c r="AA39" s="12"/>
    </row>
    <row r="40" spans="1:27" hidden="1" outlineLevel="1" x14ac:dyDescent="0.25">
      <c r="A40" s="13">
        <v>35</v>
      </c>
      <c r="B40" s="328"/>
      <c r="C40" s="325"/>
      <c r="D40" s="325"/>
      <c r="E40" s="325"/>
      <c r="F40" s="324"/>
      <c r="G40" s="324"/>
      <c r="H40" s="324"/>
      <c r="I40" s="104">
        <f t="shared" si="7"/>
        <v>0</v>
      </c>
      <c r="J40" s="325"/>
      <c r="K40" s="325" t="str">
        <f t="shared" si="8"/>
        <v/>
      </c>
      <c r="L40" s="334"/>
      <c r="M40" s="335" t="str">
        <f t="shared" si="5"/>
        <v/>
      </c>
      <c r="N40" s="336"/>
      <c r="O40" s="337">
        <f t="shared" si="9"/>
        <v>0</v>
      </c>
      <c r="P40" s="338"/>
      <c r="Q40" s="276"/>
      <c r="R40" s="147"/>
      <c r="S40" s="148"/>
      <c r="T40" s="149"/>
      <c r="U40" s="150"/>
      <c r="V40" s="151">
        <f t="shared" si="10"/>
        <v>0</v>
      </c>
      <c r="W40" s="152">
        <f t="shared" si="11"/>
        <v>0</v>
      </c>
      <c r="X40" s="153">
        <f t="shared" si="12"/>
        <v>0</v>
      </c>
      <c r="Y40" s="148"/>
      <c r="Z40" s="145"/>
      <c r="AA40" s="12"/>
    </row>
    <row r="41" spans="1:27" hidden="1" outlineLevel="1" x14ac:dyDescent="0.25">
      <c r="A41" s="13">
        <v>36</v>
      </c>
      <c r="B41" s="326"/>
      <c r="C41" s="325"/>
      <c r="D41" s="325"/>
      <c r="E41" s="325"/>
      <c r="F41" s="324"/>
      <c r="G41" s="324"/>
      <c r="H41" s="324"/>
      <c r="I41" s="104">
        <f t="shared" si="7"/>
        <v>0</v>
      </c>
      <c r="J41" s="325"/>
      <c r="K41" s="325" t="str">
        <f t="shared" si="8"/>
        <v/>
      </c>
      <c r="L41" s="334"/>
      <c r="M41" s="335" t="str">
        <f t="shared" si="5"/>
        <v/>
      </c>
      <c r="N41" s="336"/>
      <c r="O41" s="337">
        <f t="shared" si="9"/>
        <v>0</v>
      </c>
      <c r="P41" s="338"/>
      <c r="Q41" s="276"/>
      <c r="R41" s="147"/>
      <c r="S41" s="148"/>
      <c r="T41" s="149"/>
      <c r="U41" s="150"/>
      <c r="V41" s="151">
        <f t="shared" si="10"/>
        <v>0</v>
      </c>
      <c r="W41" s="152">
        <f t="shared" si="11"/>
        <v>0</v>
      </c>
      <c r="X41" s="153">
        <f t="shared" si="12"/>
        <v>0</v>
      </c>
      <c r="Y41" s="148"/>
      <c r="Z41" s="145"/>
      <c r="AA41" s="12"/>
    </row>
    <row r="42" spans="1:27" hidden="1" outlineLevel="1" x14ac:dyDescent="0.25">
      <c r="A42" s="13">
        <v>37</v>
      </c>
      <c r="B42" s="327"/>
      <c r="C42" s="325"/>
      <c r="D42" s="325"/>
      <c r="E42" s="325"/>
      <c r="F42" s="324"/>
      <c r="G42" s="324"/>
      <c r="H42" s="324"/>
      <c r="I42" s="104">
        <f t="shared" si="7"/>
        <v>0</v>
      </c>
      <c r="J42" s="325"/>
      <c r="K42" s="325" t="str">
        <f t="shared" si="8"/>
        <v/>
      </c>
      <c r="L42" s="334"/>
      <c r="M42" s="335" t="str">
        <f t="shared" si="5"/>
        <v/>
      </c>
      <c r="N42" s="336"/>
      <c r="O42" s="337">
        <f t="shared" si="9"/>
        <v>0</v>
      </c>
      <c r="P42" s="338"/>
      <c r="Q42" s="276"/>
      <c r="R42" s="147"/>
      <c r="S42" s="148"/>
      <c r="T42" s="149"/>
      <c r="U42" s="150"/>
      <c r="V42" s="151">
        <f t="shared" si="10"/>
        <v>0</v>
      </c>
      <c r="W42" s="152">
        <f t="shared" si="11"/>
        <v>0</v>
      </c>
      <c r="X42" s="153">
        <f t="shared" si="12"/>
        <v>0</v>
      </c>
      <c r="Y42" s="148"/>
      <c r="Z42" s="145"/>
      <c r="AA42" s="12"/>
    </row>
    <row r="43" spans="1:27" hidden="1" outlineLevel="1" x14ac:dyDescent="0.25">
      <c r="A43" s="13">
        <v>38</v>
      </c>
      <c r="B43" s="327"/>
      <c r="C43" s="325"/>
      <c r="D43" s="325"/>
      <c r="E43" s="325"/>
      <c r="F43" s="324"/>
      <c r="G43" s="324"/>
      <c r="H43" s="324"/>
      <c r="I43" s="104">
        <f t="shared" si="7"/>
        <v>0</v>
      </c>
      <c r="J43" s="325"/>
      <c r="K43" s="325" t="str">
        <f t="shared" si="8"/>
        <v/>
      </c>
      <c r="L43" s="334"/>
      <c r="M43" s="335" t="str">
        <f t="shared" si="5"/>
        <v/>
      </c>
      <c r="N43" s="336"/>
      <c r="O43" s="337">
        <f t="shared" si="9"/>
        <v>0</v>
      </c>
      <c r="P43" s="338"/>
      <c r="Q43" s="276"/>
      <c r="R43" s="147"/>
      <c r="S43" s="148"/>
      <c r="T43" s="149"/>
      <c r="U43" s="150"/>
      <c r="V43" s="151">
        <f t="shared" si="10"/>
        <v>0</v>
      </c>
      <c r="W43" s="152">
        <f t="shared" si="11"/>
        <v>0</v>
      </c>
      <c r="X43" s="153">
        <f t="shared" si="12"/>
        <v>0</v>
      </c>
      <c r="Y43" s="148"/>
      <c r="Z43" s="145"/>
      <c r="AA43" s="12"/>
    </row>
    <row r="44" spans="1:27" hidden="1" outlineLevel="1" x14ac:dyDescent="0.25">
      <c r="A44" s="13">
        <v>39</v>
      </c>
      <c r="B44" s="327"/>
      <c r="C44" s="325"/>
      <c r="D44" s="325"/>
      <c r="E44" s="325"/>
      <c r="F44" s="324"/>
      <c r="G44" s="324"/>
      <c r="H44" s="324"/>
      <c r="I44" s="104">
        <f t="shared" si="7"/>
        <v>0</v>
      </c>
      <c r="J44" s="325"/>
      <c r="K44" s="325" t="str">
        <f t="shared" si="8"/>
        <v/>
      </c>
      <c r="L44" s="334"/>
      <c r="M44" s="335" t="str">
        <f t="shared" si="5"/>
        <v/>
      </c>
      <c r="N44" s="336"/>
      <c r="O44" s="337">
        <f t="shared" si="9"/>
        <v>0</v>
      </c>
      <c r="P44" s="338"/>
      <c r="Q44" s="276"/>
      <c r="R44" s="147"/>
      <c r="S44" s="148"/>
      <c r="T44" s="149"/>
      <c r="U44" s="150"/>
      <c r="V44" s="151">
        <f t="shared" si="10"/>
        <v>0</v>
      </c>
      <c r="W44" s="152">
        <f t="shared" si="11"/>
        <v>0</v>
      </c>
      <c r="X44" s="153">
        <f t="shared" si="12"/>
        <v>0</v>
      </c>
      <c r="Y44" s="148"/>
      <c r="Z44" s="145"/>
      <c r="AA44" s="12"/>
    </row>
    <row r="45" spans="1:27" hidden="1" outlineLevel="1" x14ac:dyDescent="0.25">
      <c r="A45" s="13">
        <v>40</v>
      </c>
      <c r="B45" s="328"/>
      <c r="C45" s="325"/>
      <c r="D45" s="325"/>
      <c r="E45" s="325"/>
      <c r="F45" s="324"/>
      <c r="G45" s="324"/>
      <c r="H45" s="324"/>
      <c r="I45" s="104">
        <f t="shared" si="7"/>
        <v>0</v>
      </c>
      <c r="J45" s="325"/>
      <c r="K45" s="325" t="str">
        <f t="shared" si="8"/>
        <v/>
      </c>
      <c r="L45" s="334"/>
      <c r="M45" s="335" t="str">
        <f t="shared" si="5"/>
        <v/>
      </c>
      <c r="N45" s="336"/>
      <c r="O45" s="337">
        <f t="shared" si="9"/>
        <v>0</v>
      </c>
      <c r="P45" s="338"/>
      <c r="Q45" s="276"/>
      <c r="R45" s="147"/>
      <c r="S45" s="148"/>
      <c r="T45" s="149"/>
      <c r="U45" s="150"/>
      <c r="V45" s="151">
        <f t="shared" si="10"/>
        <v>0</v>
      </c>
      <c r="W45" s="152">
        <f t="shared" si="11"/>
        <v>0</v>
      </c>
      <c r="X45" s="153">
        <f t="shared" si="12"/>
        <v>0</v>
      </c>
      <c r="Y45" s="148"/>
      <c r="Z45" s="145"/>
      <c r="AA45" s="12"/>
    </row>
    <row r="46" spans="1:27" hidden="1" outlineLevel="1" x14ac:dyDescent="0.25">
      <c r="A46" s="13">
        <v>41</v>
      </c>
      <c r="B46" s="326"/>
      <c r="C46" s="325"/>
      <c r="D46" s="325"/>
      <c r="E46" s="325"/>
      <c r="F46" s="324"/>
      <c r="G46" s="324"/>
      <c r="H46" s="324"/>
      <c r="I46" s="104">
        <f t="shared" si="7"/>
        <v>0</v>
      </c>
      <c r="J46" s="325"/>
      <c r="K46" s="325" t="str">
        <f t="shared" si="8"/>
        <v/>
      </c>
      <c r="L46" s="334"/>
      <c r="M46" s="335" t="str">
        <f t="shared" si="5"/>
        <v/>
      </c>
      <c r="N46" s="336"/>
      <c r="O46" s="337">
        <f t="shared" si="9"/>
        <v>0</v>
      </c>
      <c r="P46" s="338"/>
      <c r="Q46" s="276"/>
      <c r="R46" s="147"/>
      <c r="S46" s="148"/>
      <c r="T46" s="149"/>
      <c r="U46" s="150"/>
      <c r="V46" s="151">
        <f t="shared" si="10"/>
        <v>0</v>
      </c>
      <c r="W46" s="152">
        <f t="shared" si="11"/>
        <v>0</v>
      </c>
      <c r="X46" s="153">
        <f t="shared" si="12"/>
        <v>0</v>
      </c>
      <c r="Y46" s="148"/>
      <c r="Z46" s="145"/>
      <c r="AA46" s="12"/>
    </row>
    <row r="47" spans="1:27" hidden="1" outlineLevel="1" x14ac:dyDescent="0.25">
      <c r="A47" s="13">
        <v>42</v>
      </c>
      <c r="B47" s="327"/>
      <c r="C47" s="325"/>
      <c r="D47" s="325"/>
      <c r="E47" s="325"/>
      <c r="F47" s="324"/>
      <c r="G47" s="324"/>
      <c r="H47" s="324"/>
      <c r="I47" s="104">
        <f t="shared" si="7"/>
        <v>0</v>
      </c>
      <c r="J47" s="325"/>
      <c r="K47" s="325" t="str">
        <f t="shared" si="8"/>
        <v/>
      </c>
      <c r="L47" s="334"/>
      <c r="M47" s="335" t="str">
        <f t="shared" si="5"/>
        <v/>
      </c>
      <c r="N47" s="336"/>
      <c r="O47" s="337">
        <f t="shared" si="9"/>
        <v>0</v>
      </c>
      <c r="P47" s="338"/>
      <c r="Q47" s="276"/>
      <c r="R47" s="147"/>
      <c r="S47" s="148"/>
      <c r="T47" s="149"/>
      <c r="U47" s="150"/>
      <c r="V47" s="151">
        <f t="shared" si="10"/>
        <v>0</v>
      </c>
      <c r="W47" s="152">
        <f t="shared" si="11"/>
        <v>0</v>
      </c>
      <c r="X47" s="153">
        <f t="shared" si="12"/>
        <v>0</v>
      </c>
      <c r="Y47" s="148"/>
      <c r="Z47" s="145"/>
      <c r="AA47" s="12"/>
    </row>
    <row r="48" spans="1:27" hidden="1" outlineLevel="1" x14ac:dyDescent="0.25">
      <c r="A48" s="13">
        <v>43</v>
      </c>
      <c r="B48" s="327"/>
      <c r="C48" s="325"/>
      <c r="D48" s="325"/>
      <c r="E48" s="325"/>
      <c r="F48" s="324"/>
      <c r="G48" s="324"/>
      <c r="H48" s="324"/>
      <c r="I48" s="104">
        <f t="shared" si="7"/>
        <v>0</v>
      </c>
      <c r="J48" s="325"/>
      <c r="K48" s="325" t="str">
        <f t="shared" si="8"/>
        <v/>
      </c>
      <c r="L48" s="334"/>
      <c r="M48" s="335" t="str">
        <f t="shared" si="5"/>
        <v/>
      </c>
      <c r="N48" s="336"/>
      <c r="O48" s="337">
        <f t="shared" si="9"/>
        <v>0</v>
      </c>
      <c r="P48" s="338"/>
      <c r="Q48" s="276"/>
      <c r="R48" s="147"/>
      <c r="S48" s="148"/>
      <c r="T48" s="149"/>
      <c r="U48" s="150"/>
      <c r="V48" s="151">
        <f t="shared" si="10"/>
        <v>0</v>
      </c>
      <c r="W48" s="152">
        <f t="shared" si="11"/>
        <v>0</v>
      </c>
      <c r="X48" s="153">
        <f t="shared" si="12"/>
        <v>0</v>
      </c>
      <c r="Y48" s="148"/>
      <c r="Z48" s="145"/>
      <c r="AA48" s="12"/>
    </row>
    <row r="49" spans="1:27" hidden="1" outlineLevel="1" x14ac:dyDescent="0.25">
      <c r="A49" s="13">
        <v>44</v>
      </c>
      <c r="B49" s="327"/>
      <c r="C49" s="325"/>
      <c r="D49" s="325"/>
      <c r="E49" s="325"/>
      <c r="F49" s="324"/>
      <c r="G49" s="324"/>
      <c r="H49" s="324"/>
      <c r="I49" s="104">
        <f t="shared" si="7"/>
        <v>0</v>
      </c>
      <c r="J49" s="325"/>
      <c r="K49" s="325" t="str">
        <f t="shared" si="8"/>
        <v/>
      </c>
      <c r="L49" s="334"/>
      <c r="M49" s="335" t="str">
        <f t="shared" si="5"/>
        <v/>
      </c>
      <c r="N49" s="336"/>
      <c r="O49" s="337">
        <f t="shared" si="9"/>
        <v>0</v>
      </c>
      <c r="P49" s="338"/>
      <c r="Q49" s="276"/>
      <c r="R49" s="147"/>
      <c r="S49" s="148"/>
      <c r="T49" s="149"/>
      <c r="U49" s="150"/>
      <c r="V49" s="151">
        <f t="shared" si="10"/>
        <v>0</v>
      </c>
      <c r="W49" s="152">
        <f t="shared" si="11"/>
        <v>0</v>
      </c>
      <c r="X49" s="153">
        <f t="shared" si="12"/>
        <v>0</v>
      </c>
      <c r="Y49" s="148"/>
      <c r="Z49" s="145"/>
      <c r="AA49" s="12"/>
    </row>
    <row r="50" spans="1:27" hidden="1" outlineLevel="1" x14ac:dyDescent="0.25">
      <c r="A50" s="13">
        <v>45</v>
      </c>
      <c r="B50" s="328"/>
      <c r="C50" s="325"/>
      <c r="D50" s="325"/>
      <c r="E50" s="325"/>
      <c r="F50" s="324"/>
      <c r="G50" s="324"/>
      <c r="H50" s="324"/>
      <c r="I50" s="104">
        <f t="shared" si="7"/>
        <v>0</v>
      </c>
      <c r="J50" s="325"/>
      <c r="K50" s="325" t="str">
        <f t="shared" si="8"/>
        <v/>
      </c>
      <c r="L50" s="334"/>
      <c r="M50" s="335" t="str">
        <f t="shared" si="5"/>
        <v/>
      </c>
      <c r="N50" s="336"/>
      <c r="O50" s="337">
        <f t="shared" si="9"/>
        <v>0</v>
      </c>
      <c r="P50" s="338"/>
      <c r="Q50" s="276"/>
      <c r="R50" s="147"/>
      <c r="S50" s="148"/>
      <c r="T50" s="149"/>
      <c r="U50" s="150"/>
      <c r="V50" s="151">
        <f t="shared" si="10"/>
        <v>0</v>
      </c>
      <c r="W50" s="152">
        <f t="shared" si="11"/>
        <v>0</v>
      </c>
      <c r="X50" s="153">
        <f t="shared" si="12"/>
        <v>0</v>
      </c>
      <c r="Y50" s="148"/>
      <c r="Z50" s="145"/>
      <c r="AA50" s="12"/>
    </row>
    <row r="51" spans="1:27" hidden="1" outlineLevel="1" x14ac:dyDescent="0.25">
      <c r="A51" s="13">
        <v>46</v>
      </c>
      <c r="B51" s="326"/>
      <c r="C51" s="325"/>
      <c r="D51" s="325"/>
      <c r="E51" s="325"/>
      <c r="F51" s="324"/>
      <c r="G51" s="324"/>
      <c r="H51" s="324"/>
      <c r="I51" s="104">
        <f t="shared" si="7"/>
        <v>0</v>
      </c>
      <c r="J51" s="325"/>
      <c r="K51" s="325" t="str">
        <f t="shared" si="8"/>
        <v/>
      </c>
      <c r="L51" s="334"/>
      <c r="M51" s="335" t="str">
        <f t="shared" si="5"/>
        <v/>
      </c>
      <c r="N51" s="336"/>
      <c r="O51" s="337">
        <f t="shared" si="9"/>
        <v>0</v>
      </c>
      <c r="P51" s="338"/>
      <c r="Q51" s="276"/>
      <c r="R51" s="147"/>
      <c r="S51" s="148"/>
      <c r="T51" s="149"/>
      <c r="U51" s="150"/>
      <c r="V51" s="151">
        <f t="shared" si="10"/>
        <v>0</v>
      </c>
      <c r="W51" s="152">
        <f t="shared" si="11"/>
        <v>0</v>
      </c>
      <c r="X51" s="153">
        <f t="shared" si="12"/>
        <v>0</v>
      </c>
      <c r="Y51" s="148"/>
      <c r="Z51" s="145"/>
      <c r="AA51" s="12"/>
    </row>
    <row r="52" spans="1:27" hidden="1" outlineLevel="1" x14ac:dyDescent="0.25">
      <c r="A52" s="13">
        <v>47</v>
      </c>
      <c r="B52" s="327"/>
      <c r="C52" s="325"/>
      <c r="D52" s="325"/>
      <c r="E52" s="325"/>
      <c r="F52" s="324"/>
      <c r="G52" s="324"/>
      <c r="H52" s="324"/>
      <c r="I52" s="104">
        <f t="shared" si="7"/>
        <v>0</v>
      </c>
      <c r="J52" s="325"/>
      <c r="K52" s="325" t="str">
        <f t="shared" si="8"/>
        <v/>
      </c>
      <c r="L52" s="334"/>
      <c r="M52" s="335" t="str">
        <f t="shared" si="5"/>
        <v/>
      </c>
      <c r="N52" s="336"/>
      <c r="O52" s="337">
        <f t="shared" si="9"/>
        <v>0</v>
      </c>
      <c r="P52" s="338"/>
      <c r="Q52" s="276"/>
      <c r="R52" s="147"/>
      <c r="S52" s="148"/>
      <c r="T52" s="149"/>
      <c r="U52" s="150"/>
      <c r="V52" s="151">
        <f t="shared" si="10"/>
        <v>0</v>
      </c>
      <c r="W52" s="152">
        <f t="shared" si="11"/>
        <v>0</v>
      </c>
      <c r="X52" s="153">
        <f t="shared" si="12"/>
        <v>0</v>
      </c>
      <c r="Y52" s="148"/>
      <c r="Z52" s="145"/>
      <c r="AA52" s="12"/>
    </row>
    <row r="53" spans="1:27" hidden="1" outlineLevel="1" x14ac:dyDescent="0.25">
      <c r="A53" s="13">
        <v>48</v>
      </c>
      <c r="B53" s="327"/>
      <c r="C53" s="325"/>
      <c r="D53" s="325"/>
      <c r="E53" s="325"/>
      <c r="F53" s="324"/>
      <c r="G53" s="324"/>
      <c r="H53" s="324"/>
      <c r="I53" s="104">
        <f t="shared" si="7"/>
        <v>0</v>
      </c>
      <c r="J53" s="325"/>
      <c r="K53" s="325" t="str">
        <f t="shared" si="8"/>
        <v/>
      </c>
      <c r="L53" s="334"/>
      <c r="M53" s="335" t="str">
        <f t="shared" si="5"/>
        <v/>
      </c>
      <c r="N53" s="336"/>
      <c r="O53" s="337">
        <f t="shared" si="9"/>
        <v>0</v>
      </c>
      <c r="P53" s="338"/>
      <c r="Q53" s="276"/>
      <c r="R53" s="147"/>
      <c r="S53" s="148"/>
      <c r="T53" s="149"/>
      <c r="U53" s="150"/>
      <c r="V53" s="151">
        <f t="shared" si="10"/>
        <v>0</v>
      </c>
      <c r="W53" s="152">
        <f t="shared" si="11"/>
        <v>0</v>
      </c>
      <c r="X53" s="153">
        <f t="shared" si="12"/>
        <v>0</v>
      </c>
      <c r="Y53" s="148"/>
      <c r="Z53" s="145"/>
      <c r="AA53" s="12"/>
    </row>
    <row r="54" spans="1:27" hidden="1" outlineLevel="1" x14ac:dyDescent="0.25">
      <c r="A54" s="13">
        <v>49</v>
      </c>
      <c r="B54" s="327"/>
      <c r="C54" s="325"/>
      <c r="D54" s="325"/>
      <c r="E54" s="325"/>
      <c r="F54" s="324"/>
      <c r="G54" s="324"/>
      <c r="H54" s="324"/>
      <c r="I54" s="104">
        <f t="shared" si="7"/>
        <v>0</v>
      </c>
      <c r="J54" s="325"/>
      <c r="K54" s="325" t="str">
        <f t="shared" si="8"/>
        <v/>
      </c>
      <c r="L54" s="334"/>
      <c r="M54" s="335" t="str">
        <f t="shared" si="5"/>
        <v/>
      </c>
      <c r="N54" s="336"/>
      <c r="O54" s="337">
        <f t="shared" si="9"/>
        <v>0</v>
      </c>
      <c r="P54" s="338"/>
      <c r="Q54" s="276"/>
      <c r="R54" s="147"/>
      <c r="S54" s="148"/>
      <c r="T54" s="149"/>
      <c r="U54" s="150"/>
      <c r="V54" s="151">
        <f t="shared" si="10"/>
        <v>0</v>
      </c>
      <c r="W54" s="152">
        <f t="shared" si="11"/>
        <v>0</v>
      </c>
      <c r="X54" s="153">
        <f t="shared" si="12"/>
        <v>0</v>
      </c>
      <c r="Y54" s="148"/>
      <c r="Z54" s="145"/>
      <c r="AA54" s="12"/>
    </row>
    <row r="55" spans="1:27" hidden="1" outlineLevel="1" x14ac:dyDescent="0.25">
      <c r="A55" s="13">
        <v>50</v>
      </c>
      <c r="B55" s="328"/>
      <c r="C55" s="325"/>
      <c r="D55" s="325"/>
      <c r="E55" s="325"/>
      <c r="F55" s="324"/>
      <c r="G55" s="324"/>
      <c r="H55" s="324"/>
      <c r="I55" s="104">
        <f t="shared" si="7"/>
        <v>0</v>
      </c>
      <c r="J55" s="325"/>
      <c r="K55" s="325" t="str">
        <f t="shared" si="8"/>
        <v/>
      </c>
      <c r="L55" s="334"/>
      <c r="M55" s="335" t="str">
        <f t="shared" si="5"/>
        <v/>
      </c>
      <c r="N55" s="336"/>
      <c r="O55" s="337">
        <f t="shared" si="9"/>
        <v>0</v>
      </c>
      <c r="P55" s="338"/>
      <c r="Q55" s="276"/>
      <c r="R55" s="147"/>
      <c r="S55" s="148"/>
      <c r="T55" s="149"/>
      <c r="U55" s="150"/>
      <c r="V55" s="151">
        <f t="shared" si="10"/>
        <v>0</v>
      </c>
      <c r="W55" s="152">
        <f t="shared" si="11"/>
        <v>0</v>
      </c>
      <c r="X55" s="153">
        <f t="shared" si="12"/>
        <v>0</v>
      </c>
      <c r="Y55" s="148"/>
      <c r="Z55" s="145"/>
      <c r="AA55" s="12"/>
    </row>
    <row r="56" spans="1:27" hidden="1" outlineLevel="1" x14ac:dyDescent="0.25">
      <c r="A56" s="13">
        <v>51</v>
      </c>
      <c r="B56" s="326"/>
      <c r="C56" s="325"/>
      <c r="D56" s="325"/>
      <c r="E56" s="325"/>
      <c r="F56" s="324"/>
      <c r="G56" s="324"/>
      <c r="H56" s="324"/>
      <c r="I56" s="104">
        <f t="shared" si="7"/>
        <v>0</v>
      </c>
      <c r="J56" s="325"/>
      <c r="K56" s="325" t="str">
        <f t="shared" si="8"/>
        <v/>
      </c>
      <c r="L56" s="334"/>
      <c r="M56" s="335" t="str">
        <f t="shared" si="5"/>
        <v/>
      </c>
      <c r="N56" s="336"/>
      <c r="O56" s="337">
        <f t="shared" si="9"/>
        <v>0</v>
      </c>
      <c r="P56" s="338"/>
      <c r="Q56" s="276"/>
      <c r="R56" s="147"/>
      <c r="S56" s="148"/>
      <c r="T56" s="149"/>
      <c r="U56" s="150"/>
      <c r="V56" s="151">
        <f t="shared" si="10"/>
        <v>0</v>
      </c>
      <c r="W56" s="152">
        <f t="shared" si="11"/>
        <v>0</v>
      </c>
      <c r="X56" s="153">
        <f t="shared" si="12"/>
        <v>0</v>
      </c>
      <c r="Y56" s="148"/>
      <c r="Z56" s="145"/>
      <c r="AA56" s="12"/>
    </row>
    <row r="57" spans="1:27" hidden="1" outlineLevel="1" x14ac:dyDescent="0.25">
      <c r="A57" s="13">
        <v>52</v>
      </c>
      <c r="B57" s="327"/>
      <c r="C57" s="325"/>
      <c r="D57" s="325"/>
      <c r="E57" s="325"/>
      <c r="F57" s="324"/>
      <c r="G57" s="324"/>
      <c r="H57" s="324"/>
      <c r="I57" s="104">
        <f t="shared" si="7"/>
        <v>0</v>
      </c>
      <c r="J57" s="325"/>
      <c r="K57" s="325" t="str">
        <f t="shared" si="8"/>
        <v/>
      </c>
      <c r="L57" s="334"/>
      <c r="M57" s="335" t="str">
        <f t="shared" si="5"/>
        <v/>
      </c>
      <c r="N57" s="336"/>
      <c r="O57" s="337">
        <f t="shared" si="9"/>
        <v>0</v>
      </c>
      <c r="P57" s="338"/>
      <c r="Q57" s="276"/>
      <c r="R57" s="147"/>
      <c r="S57" s="148"/>
      <c r="T57" s="149"/>
      <c r="U57" s="150"/>
      <c r="V57" s="151">
        <f t="shared" si="10"/>
        <v>0</v>
      </c>
      <c r="W57" s="152">
        <f t="shared" si="11"/>
        <v>0</v>
      </c>
      <c r="X57" s="153">
        <f t="shared" si="12"/>
        <v>0</v>
      </c>
      <c r="Y57" s="148"/>
      <c r="Z57" s="145"/>
      <c r="AA57" s="12"/>
    </row>
    <row r="58" spans="1:27" hidden="1" outlineLevel="1" x14ac:dyDescent="0.25">
      <c r="A58" s="13">
        <v>53</v>
      </c>
      <c r="B58" s="327"/>
      <c r="C58" s="325"/>
      <c r="D58" s="325"/>
      <c r="E58" s="325"/>
      <c r="F58" s="324"/>
      <c r="G58" s="324"/>
      <c r="H58" s="324"/>
      <c r="I58" s="104">
        <f t="shared" si="7"/>
        <v>0</v>
      </c>
      <c r="J58" s="325"/>
      <c r="K58" s="325" t="str">
        <f t="shared" si="8"/>
        <v/>
      </c>
      <c r="L58" s="334"/>
      <c r="M58" s="335" t="str">
        <f t="shared" si="5"/>
        <v/>
      </c>
      <c r="N58" s="336"/>
      <c r="O58" s="337">
        <f t="shared" si="9"/>
        <v>0</v>
      </c>
      <c r="P58" s="338"/>
      <c r="Q58" s="276"/>
      <c r="R58" s="147"/>
      <c r="S58" s="148"/>
      <c r="T58" s="149"/>
      <c r="U58" s="150"/>
      <c r="V58" s="151">
        <f t="shared" si="10"/>
        <v>0</v>
      </c>
      <c r="W58" s="152">
        <f t="shared" si="11"/>
        <v>0</v>
      </c>
      <c r="X58" s="153">
        <f t="shared" si="12"/>
        <v>0</v>
      </c>
      <c r="Y58" s="148"/>
      <c r="Z58" s="145"/>
      <c r="AA58" s="12"/>
    </row>
    <row r="59" spans="1:27" hidden="1" outlineLevel="1" x14ac:dyDescent="0.25">
      <c r="A59" s="13">
        <v>54</v>
      </c>
      <c r="B59" s="327"/>
      <c r="C59" s="325"/>
      <c r="D59" s="325"/>
      <c r="E59" s="325"/>
      <c r="F59" s="324"/>
      <c r="G59" s="324"/>
      <c r="H59" s="324"/>
      <c r="I59" s="104">
        <f t="shared" si="7"/>
        <v>0</v>
      </c>
      <c r="J59" s="325"/>
      <c r="K59" s="325" t="str">
        <f t="shared" si="8"/>
        <v/>
      </c>
      <c r="L59" s="334"/>
      <c r="M59" s="335" t="str">
        <f t="shared" si="5"/>
        <v/>
      </c>
      <c r="N59" s="336"/>
      <c r="O59" s="337">
        <f t="shared" si="9"/>
        <v>0</v>
      </c>
      <c r="P59" s="338"/>
      <c r="Q59" s="276"/>
      <c r="R59" s="147"/>
      <c r="S59" s="148"/>
      <c r="T59" s="149"/>
      <c r="U59" s="150"/>
      <c r="V59" s="151">
        <f t="shared" si="10"/>
        <v>0</v>
      </c>
      <c r="W59" s="152">
        <f t="shared" si="11"/>
        <v>0</v>
      </c>
      <c r="X59" s="153">
        <f t="shared" si="12"/>
        <v>0</v>
      </c>
      <c r="Y59" s="148"/>
      <c r="Z59" s="145"/>
      <c r="AA59" s="12"/>
    </row>
    <row r="60" spans="1:27" hidden="1" outlineLevel="1" x14ac:dyDescent="0.25">
      <c r="A60" s="13">
        <v>55</v>
      </c>
      <c r="B60" s="328"/>
      <c r="C60" s="325"/>
      <c r="D60" s="325"/>
      <c r="E60" s="325"/>
      <c r="F60" s="324"/>
      <c r="G60" s="324"/>
      <c r="H60" s="324"/>
      <c r="I60" s="104">
        <f t="shared" si="7"/>
        <v>0</v>
      </c>
      <c r="J60" s="325"/>
      <c r="K60" s="325" t="str">
        <f t="shared" si="8"/>
        <v/>
      </c>
      <c r="L60" s="334"/>
      <c r="M60" s="335" t="str">
        <f t="shared" si="5"/>
        <v/>
      </c>
      <c r="N60" s="336"/>
      <c r="O60" s="337">
        <f t="shared" si="9"/>
        <v>0</v>
      </c>
      <c r="P60" s="338"/>
      <c r="Q60" s="276"/>
      <c r="R60" s="147"/>
      <c r="S60" s="148"/>
      <c r="T60" s="149"/>
      <c r="U60" s="150"/>
      <c r="V60" s="151">
        <f t="shared" si="10"/>
        <v>0</v>
      </c>
      <c r="W60" s="152">
        <f t="shared" si="11"/>
        <v>0</v>
      </c>
      <c r="X60" s="153">
        <f t="shared" si="12"/>
        <v>0</v>
      </c>
      <c r="Y60" s="148"/>
      <c r="Z60" s="145"/>
      <c r="AA60" s="12"/>
    </row>
    <row r="61" spans="1:27" hidden="1" outlineLevel="1" x14ac:dyDescent="0.25">
      <c r="A61" s="13">
        <v>56</v>
      </c>
      <c r="B61" s="326"/>
      <c r="C61" s="325"/>
      <c r="D61" s="325"/>
      <c r="E61" s="325"/>
      <c r="F61" s="324"/>
      <c r="G61" s="324"/>
      <c r="H61" s="324"/>
      <c r="I61" s="104">
        <f t="shared" si="7"/>
        <v>0</v>
      </c>
      <c r="J61" s="325"/>
      <c r="K61" s="325" t="str">
        <f t="shared" si="8"/>
        <v/>
      </c>
      <c r="L61" s="334"/>
      <c r="M61" s="335" t="str">
        <f t="shared" si="5"/>
        <v/>
      </c>
      <c r="N61" s="336"/>
      <c r="O61" s="337">
        <f t="shared" si="9"/>
        <v>0</v>
      </c>
      <c r="P61" s="338"/>
      <c r="Q61" s="276"/>
      <c r="R61" s="147"/>
      <c r="S61" s="148"/>
      <c r="T61" s="149"/>
      <c r="U61" s="150"/>
      <c r="V61" s="151">
        <f t="shared" si="10"/>
        <v>0</v>
      </c>
      <c r="W61" s="152">
        <f t="shared" si="11"/>
        <v>0</v>
      </c>
      <c r="X61" s="153">
        <f t="shared" si="12"/>
        <v>0</v>
      </c>
      <c r="Y61" s="148"/>
      <c r="Z61" s="145"/>
      <c r="AA61" s="12"/>
    </row>
    <row r="62" spans="1:27" hidden="1" outlineLevel="1" x14ac:dyDescent="0.25">
      <c r="A62" s="13">
        <v>57</v>
      </c>
      <c r="B62" s="327"/>
      <c r="C62" s="325"/>
      <c r="D62" s="325"/>
      <c r="E62" s="325"/>
      <c r="F62" s="324"/>
      <c r="G62" s="324"/>
      <c r="H62" s="324"/>
      <c r="I62" s="104">
        <f t="shared" si="7"/>
        <v>0</v>
      </c>
      <c r="J62" s="325"/>
      <c r="K62" s="325" t="str">
        <f t="shared" si="8"/>
        <v/>
      </c>
      <c r="L62" s="334"/>
      <c r="M62" s="335" t="str">
        <f t="shared" si="5"/>
        <v/>
      </c>
      <c r="N62" s="336"/>
      <c r="O62" s="337">
        <f t="shared" si="9"/>
        <v>0</v>
      </c>
      <c r="P62" s="338"/>
      <c r="Q62" s="276"/>
      <c r="R62" s="147"/>
      <c r="S62" s="148"/>
      <c r="T62" s="149"/>
      <c r="U62" s="150"/>
      <c r="V62" s="151">
        <f t="shared" si="10"/>
        <v>0</v>
      </c>
      <c r="W62" s="152">
        <f t="shared" si="11"/>
        <v>0</v>
      </c>
      <c r="X62" s="153">
        <f t="shared" si="12"/>
        <v>0</v>
      </c>
      <c r="Y62" s="148"/>
      <c r="Z62" s="145"/>
      <c r="AA62" s="12"/>
    </row>
    <row r="63" spans="1:27" hidden="1" outlineLevel="1" x14ac:dyDescent="0.25">
      <c r="A63" s="13">
        <v>58</v>
      </c>
      <c r="B63" s="327"/>
      <c r="C63" s="325"/>
      <c r="D63" s="325"/>
      <c r="E63" s="325"/>
      <c r="F63" s="324"/>
      <c r="G63" s="324"/>
      <c r="H63" s="324"/>
      <c r="I63" s="104">
        <f t="shared" si="7"/>
        <v>0</v>
      </c>
      <c r="J63" s="325"/>
      <c r="K63" s="325" t="str">
        <f t="shared" si="8"/>
        <v/>
      </c>
      <c r="L63" s="334"/>
      <c r="M63" s="335" t="str">
        <f t="shared" si="5"/>
        <v/>
      </c>
      <c r="N63" s="336"/>
      <c r="O63" s="337">
        <f t="shared" si="9"/>
        <v>0</v>
      </c>
      <c r="P63" s="338"/>
      <c r="Q63" s="276"/>
      <c r="R63" s="147"/>
      <c r="S63" s="148"/>
      <c r="T63" s="149"/>
      <c r="U63" s="150"/>
      <c r="V63" s="151">
        <f t="shared" si="10"/>
        <v>0</v>
      </c>
      <c r="W63" s="152">
        <f t="shared" si="11"/>
        <v>0</v>
      </c>
      <c r="X63" s="153">
        <f t="shared" si="12"/>
        <v>0</v>
      </c>
      <c r="Y63" s="148"/>
      <c r="Z63" s="145"/>
      <c r="AA63" s="12"/>
    </row>
    <row r="64" spans="1:27" hidden="1" outlineLevel="1" x14ac:dyDescent="0.25">
      <c r="A64" s="13">
        <v>59</v>
      </c>
      <c r="B64" s="327"/>
      <c r="C64" s="325"/>
      <c r="D64" s="325"/>
      <c r="E64" s="325"/>
      <c r="F64" s="324"/>
      <c r="G64" s="324"/>
      <c r="H64" s="324"/>
      <c r="I64" s="104">
        <f t="shared" si="7"/>
        <v>0</v>
      </c>
      <c r="J64" s="325"/>
      <c r="K64" s="325" t="str">
        <f t="shared" si="8"/>
        <v/>
      </c>
      <c r="L64" s="334"/>
      <c r="M64" s="335" t="str">
        <f t="shared" si="5"/>
        <v/>
      </c>
      <c r="N64" s="336"/>
      <c r="O64" s="337">
        <f t="shared" si="9"/>
        <v>0</v>
      </c>
      <c r="P64" s="338"/>
      <c r="Q64" s="276"/>
      <c r="R64" s="147"/>
      <c r="S64" s="148"/>
      <c r="T64" s="149"/>
      <c r="U64" s="150"/>
      <c r="V64" s="151">
        <f t="shared" si="10"/>
        <v>0</v>
      </c>
      <c r="W64" s="152">
        <f t="shared" si="11"/>
        <v>0</v>
      </c>
      <c r="X64" s="153">
        <f t="shared" si="12"/>
        <v>0</v>
      </c>
      <c r="Y64" s="148"/>
      <c r="Z64" s="145"/>
      <c r="AA64" s="12"/>
    </row>
    <row r="65" spans="1:27" hidden="1" outlineLevel="1" x14ac:dyDescent="0.25">
      <c r="A65" s="13">
        <v>60</v>
      </c>
      <c r="B65" s="328"/>
      <c r="C65" s="325"/>
      <c r="D65" s="325"/>
      <c r="E65" s="325"/>
      <c r="F65" s="324"/>
      <c r="G65" s="324"/>
      <c r="H65" s="324"/>
      <c r="I65" s="104">
        <f t="shared" si="7"/>
        <v>0</v>
      </c>
      <c r="J65" s="325"/>
      <c r="K65" s="325" t="str">
        <f t="shared" si="8"/>
        <v/>
      </c>
      <c r="L65" s="334"/>
      <c r="M65" s="335" t="str">
        <f t="shared" si="5"/>
        <v/>
      </c>
      <c r="N65" s="336"/>
      <c r="O65" s="337">
        <f t="shared" si="9"/>
        <v>0</v>
      </c>
      <c r="P65" s="338"/>
      <c r="Q65" s="276"/>
      <c r="R65" s="147"/>
      <c r="S65" s="148"/>
      <c r="T65" s="149"/>
      <c r="U65" s="150"/>
      <c r="V65" s="151">
        <f t="shared" si="10"/>
        <v>0</v>
      </c>
      <c r="W65" s="152">
        <f t="shared" si="11"/>
        <v>0</v>
      </c>
      <c r="X65" s="153">
        <f t="shared" si="12"/>
        <v>0</v>
      </c>
      <c r="Y65" s="148"/>
      <c r="Z65" s="145"/>
      <c r="AA65" s="12"/>
    </row>
    <row r="66" spans="1:27" collapsed="1" x14ac:dyDescent="0.25">
      <c r="A66" s="105"/>
      <c r="B66" s="106" t="s">
        <v>73</v>
      </c>
      <c r="C66" s="107"/>
      <c r="D66" s="107"/>
      <c r="E66" s="107"/>
      <c r="F66" s="107"/>
      <c r="G66" s="107"/>
      <c r="H66" s="108"/>
      <c r="I66" s="109">
        <f>SUM(I6:I65)</f>
        <v>0</v>
      </c>
      <c r="J66" s="110"/>
      <c r="K66" s="111"/>
      <c r="L66" s="112"/>
      <c r="M66" s="113"/>
      <c r="N66" s="114"/>
      <c r="O66" s="315">
        <f>SUM(O6:O65)</f>
        <v>0</v>
      </c>
      <c r="P66" s="114"/>
      <c r="Q66" s="315">
        <f>SUM(Q6:Q65)</f>
        <v>0</v>
      </c>
      <c r="R66" s="316"/>
      <c r="S66" s="317"/>
      <c r="T66" s="318"/>
      <c r="U66" s="319"/>
      <c r="V66" s="315">
        <f>SUM(V6:V65)</f>
        <v>0</v>
      </c>
      <c r="W66" s="320">
        <f>SUM(W6:W65)</f>
        <v>0</v>
      </c>
      <c r="X66" s="321">
        <f t="shared" si="12"/>
        <v>0</v>
      </c>
      <c r="Y66" s="317"/>
      <c r="Z66" s="322"/>
      <c r="AA66" s="323"/>
    </row>
    <row r="68" spans="1:27" s="1" customFormat="1" x14ac:dyDescent="0.25">
      <c r="B68" s="6" t="s">
        <v>74</v>
      </c>
      <c r="L68" s="1" t="s">
        <v>75</v>
      </c>
      <c r="M68" s="115"/>
      <c r="O68" s="116"/>
    </row>
    <row r="69" spans="1:27" x14ac:dyDescent="0.25">
      <c r="B69" s="2" t="s">
        <v>76</v>
      </c>
      <c r="L69" s="13" t="s">
        <v>77</v>
      </c>
    </row>
    <row r="70" spans="1:27" x14ac:dyDescent="0.25">
      <c r="B70" s="2" t="s">
        <v>78</v>
      </c>
      <c r="L70" s="13" t="s">
        <v>79</v>
      </c>
    </row>
    <row r="71" spans="1:27" x14ac:dyDescent="0.25">
      <c r="B71" s="2" t="s">
        <v>80</v>
      </c>
      <c r="L71" s="13" t="s">
        <v>81</v>
      </c>
    </row>
    <row r="72" spans="1:27" x14ac:dyDescent="0.25">
      <c r="B72" s="2" t="s">
        <v>82</v>
      </c>
    </row>
  </sheetData>
  <sheetProtection algorithmName="SHA-512" hashValue="tQ8JfxxSv1mylM1iOGpnGnQHDYOTXDgZL6ucp+foRO1MwAAIny9kY5TfsYSELM5mG/jM7cjYba6tdUCaMx0RzQ==" saltValue="+MlXj42xUDJB6v5f2XP8+A==" spinCount="100000" sheet="1" formatCells="0" formatColumns="0" formatRows="0"/>
  <conditionalFormatting sqref="Q6:Q65">
    <cfRule type="containsText" dxfId="1" priority="1" operator="containsText" text="נא להסביר חריגה כאן">
      <formula>NOT(ISERROR(SEARCH("נא להסביר חריגה כאן",Q6)))</formula>
    </cfRule>
  </conditionalFormatting>
  <conditionalFormatting sqref="W6:X66">
    <cfRule type="cellIs" dxfId="0" priority="2" operator="greaterThan">
      <formula>0</formula>
    </cfRule>
  </conditionalFormatting>
  <dataValidations count="3">
    <dataValidation type="list" allowBlank="1" showInputMessage="1" showErrorMessage="1" sqref="L6:L65" xr:uid="{00000000-0002-0000-0500-000000000000}">
      <formula1>"מאשר,מאשר חלקי,לא מאשר"</formula1>
      <formula2>0</formula2>
    </dataValidation>
    <dataValidation type="list" allowBlank="1" showInputMessage="1" showErrorMessage="1" sqref="J6:J65" xr:uid="{00000000-0002-0000-0500-000001000000}">
      <formula1>"הצעה א,הצעה ב,הצעה ג"</formula1>
      <formula2>0</formula2>
    </dataValidation>
    <dataValidation type="list" allowBlank="1" showInputMessage="1" showErrorMessage="1" sqref="N6:N65" xr:uid="{00000000-0002-0000-0500-000002000000}">
      <formula1>"מאושר,לא מאושר"</formula1>
      <formula2>0</formula2>
    </dataValidation>
  </dataValidation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rightToLeft="1" zoomScale="80" zoomScaleNormal="80" workbookViewId="0"/>
  </sheetViews>
  <sheetFormatPr defaultColWidth="9.109375" defaultRowHeight="13.8" outlineLevelRow="1" outlineLevelCol="1" x14ac:dyDescent="0.25"/>
  <cols>
    <col min="1" max="1" width="2.88671875" style="2" customWidth="1"/>
    <col min="2" max="2" width="47" style="2" customWidth="1"/>
    <col min="3" max="3" width="17" style="2" customWidth="1"/>
    <col min="4" max="4" width="23.6640625" style="2" customWidth="1"/>
    <col min="5" max="5" width="9.44140625" style="2" customWidth="1"/>
    <col min="6" max="6" width="17.33203125" style="2" hidden="1" customWidth="1" outlineLevel="1"/>
    <col min="7" max="7" width="13.44140625" style="2" hidden="1" customWidth="1" outlineLevel="1"/>
    <col min="8" max="8" width="9.109375" style="2" collapsed="1"/>
    <col min="9" max="16384" width="9.109375" style="2"/>
  </cols>
  <sheetData>
    <row r="1" spans="1:7" x14ac:dyDescent="0.25">
      <c r="B1" s="2" t="str">
        <f>'שאלון למילוי הבקשה - חובה'!B1</f>
        <v>תקן ציוד כללי בסיסי למרכזי פעילות יומית לאנשים עם מוגבלות- מרחבים: גירסת- 1.9.2026</v>
      </c>
    </row>
    <row r="6" spans="1:7" hidden="1" x14ac:dyDescent="0.25">
      <c r="A6" s="127"/>
      <c r="D6" s="3" t="str">
        <f>'שאלון למילוי הבקשה - חובה'!C29</f>
        <v>דירוג סוציואקונומי של הישוב:</v>
      </c>
      <c r="E6" s="4">
        <f>'שאלון למילוי הבקשה - חובה'!D29</f>
        <v>0</v>
      </c>
    </row>
    <row r="7" spans="1:7" hidden="1" x14ac:dyDescent="0.25">
      <c r="A7" s="127"/>
      <c r="D7" s="3" t="str">
        <f>'שאלון למילוי הבקשה - חובה'!C31</f>
        <v>קו עימות:</v>
      </c>
      <c r="E7" s="4">
        <f>'שאלון למילוי הבקשה - חובה'!D31</f>
        <v>0</v>
      </c>
    </row>
    <row r="8" spans="1:7" x14ac:dyDescent="0.25">
      <c r="B8" s="6" t="s">
        <v>83</v>
      </c>
      <c r="D8" s="3" t="s">
        <v>84</v>
      </c>
      <c r="E8" s="347">
        <v>200000</v>
      </c>
    </row>
    <row r="9" spans="1:7" x14ac:dyDescent="0.25">
      <c r="B9" s="2" t="str">
        <f>'שאלון למילוי הבקשה - חובה'!C5</f>
        <v>תאריך הגשת הבקשה:</v>
      </c>
      <c r="C9" s="134">
        <f>'שאלון למילוי הבקשה - חובה'!D5</f>
        <v>0</v>
      </c>
      <c r="D9" s="3" t="s">
        <v>85</v>
      </c>
      <c r="E9" s="347">
        <v>200000</v>
      </c>
    </row>
    <row r="10" spans="1:7" ht="17.399999999999999" x14ac:dyDescent="0.3">
      <c r="B10" s="344" t="str">
        <f>'שאלון למילוי הבקשה - חובה'!$C$7</f>
        <v>שם הגוף המבקש:</v>
      </c>
      <c r="C10" s="345">
        <f>'שאלון למילוי הבקשה - חובה'!D7</f>
        <v>0</v>
      </c>
      <c r="D10" s="3" t="s">
        <v>86</v>
      </c>
      <c r="E10" s="346">
        <v>0.1</v>
      </c>
    </row>
    <row r="11" spans="1:7" ht="17.399999999999999" x14ac:dyDescent="0.3">
      <c r="B11" s="345" t="str">
        <f>'שאלון למילוי הבקשה - חובה'!$C$18</f>
        <v>שם המסגרת:</v>
      </c>
      <c r="C11" s="345">
        <f>'שאלון למילוי הבקשה - חובה'!D18</f>
        <v>0</v>
      </c>
    </row>
    <row r="12" spans="1:7" x14ac:dyDescent="0.25">
      <c r="B12" s="2" t="str">
        <f>'שאלון למילוי הבקשה - חובה'!$C$33</f>
        <v>מספר האנשים שעבורם מיועד הפרויקט (בין 20 ל-25):</v>
      </c>
      <c r="C12" s="2">
        <f>'שאלון למילוי הבקשה - חובה'!D33</f>
        <v>0</v>
      </c>
    </row>
    <row r="13" spans="1:7" x14ac:dyDescent="0.25">
      <c r="B13" s="2" t="str">
        <f>'שאלון למילוי הבקשה - חובה'!$C$35</f>
        <v>מספר חדרי קבוצות כולל חדרי פעילות וסדנאות:</v>
      </c>
      <c r="C13" s="2">
        <f>'שאלון למילוי הבקשה - חובה'!D35</f>
        <v>0</v>
      </c>
    </row>
    <row r="15" spans="1:7" x14ac:dyDescent="0.25">
      <c r="B15" s="8" t="s">
        <v>87</v>
      </c>
      <c r="C15" s="140" t="s">
        <v>258</v>
      </c>
      <c r="D15" s="141"/>
      <c r="E15" s="138"/>
      <c r="F15" s="135" t="s">
        <v>163</v>
      </c>
      <c r="G15" s="135" t="s">
        <v>164</v>
      </c>
    </row>
    <row r="16" spans="1:7" ht="15" customHeight="1" x14ac:dyDescent="0.25">
      <c r="B16" s="8" t="str">
        <f>'ציוד לחדרי קבוצות'!B10</f>
        <v xml:space="preserve"> ציוד וריהוט לחדרי קבוצות  </v>
      </c>
      <c r="C16" s="139">
        <f>'ציוד לחדרי קבוצות'!H45</f>
        <v>0</v>
      </c>
      <c r="D16" s="141"/>
      <c r="E16" s="138"/>
      <c r="F16" s="136">
        <f>'ציוד לחדרי קבוצות'!K45</f>
        <v>0</v>
      </c>
      <c r="G16" s="136">
        <f>'ציוד לחדרי קבוצות'!P45</f>
        <v>0</v>
      </c>
    </row>
    <row r="17" spans="2:7" x14ac:dyDescent="0.25">
      <c r="B17" s="8" t="str">
        <f>'ציוד כללי'!B10</f>
        <v xml:space="preserve">ציוד כללי לחללים משותפים וציוד נוסף </v>
      </c>
      <c r="C17" s="139">
        <f>'ציוד כללי'!H54</f>
        <v>0</v>
      </c>
      <c r="D17" s="141"/>
      <c r="E17" s="138"/>
      <c r="F17" s="136">
        <f>'ציוד כללי'!K54</f>
        <v>0</v>
      </c>
      <c r="G17" s="136">
        <f>'ציוד כללי'!P54</f>
        <v>0</v>
      </c>
    </row>
    <row r="18" spans="2:7" x14ac:dyDescent="0.25">
      <c r="B18" s="8" t="str">
        <f>'ציוד תעסוקה וסדנאות'!B6</f>
        <v>ציוד תעסוקה / סדנאות</v>
      </c>
      <c r="C18" s="139">
        <f>'ציוד תעסוקה וסדנאות'!H50</f>
        <v>0</v>
      </c>
      <c r="D18" s="141"/>
      <c r="E18" s="138"/>
      <c r="F18" s="136">
        <f>'ציוד תעסוקה וסדנאות'!K50</f>
        <v>0</v>
      </c>
      <c r="G18" s="136">
        <f>'ציוד תעסוקה וסדנאות'!P50</f>
        <v>0</v>
      </c>
    </row>
    <row r="19" spans="2:7" x14ac:dyDescent="0.25">
      <c r="B19" s="8" t="str">
        <f>'מטבח ואזור אכילה'!B10</f>
        <v>ציוד מטבח מחמם ואזור אכילה</v>
      </c>
      <c r="C19" s="139">
        <f>'מטבח ואזור אכילה'!H35</f>
        <v>0</v>
      </c>
      <c r="D19" s="141"/>
      <c r="E19" s="138"/>
      <c r="F19" s="136">
        <f>'מטבח ואזור אכילה'!K35</f>
        <v>0</v>
      </c>
      <c r="G19" s="136">
        <f>'מטבח ואזור אכילה'!P35</f>
        <v>0</v>
      </c>
    </row>
    <row r="20" spans="2:7" x14ac:dyDescent="0.25">
      <c r="B20" s="8" t="str">
        <f>'ציוד צוות'!B6</f>
        <v>ציוד צוות</v>
      </c>
      <c r="C20" s="139">
        <f>'ציוד צוות'!H18</f>
        <v>0</v>
      </c>
      <c r="D20" s="141"/>
      <c r="E20" s="138"/>
      <c r="F20" s="136">
        <f>'ציוד צוות'!K18</f>
        <v>0</v>
      </c>
      <c r="G20" s="136">
        <f>'ציוד צוות'!P18</f>
        <v>0</v>
      </c>
    </row>
    <row r="21" spans="2:7" x14ac:dyDescent="0.25">
      <c r="B21" s="8" t="str">
        <f>'ציוד יעודי שלא נמצא בתקן'!B4</f>
        <v xml:space="preserve"> ציוד יעודי שלא נמצא בתקן </v>
      </c>
      <c r="C21" s="139">
        <f>'ציוד יעודי שלא נמצא בתקן'!O66</f>
        <v>0</v>
      </c>
      <c r="D21" s="141"/>
      <c r="E21" s="138"/>
      <c r="F21" s="136">
        <f>'ציוד יעודי שלא נמצא בתקן'!Q66</f>
        <v>0</v>
      </c>
      <c r="G21" s="136">
        <f>'ציוד יעודי שלא נמצא בתקן'!V66</f>
        <v>0</v>
      </c>
    </row>
    <row r="22" spans="2:7" x14ac:dyDescent="0.25">
      <c r="B22" s="9" t="s">
        <v>88</v>
      </c>
      <c r="C22" s="137">
        <f>SUM(C16:C21)</f>
        <v>0</v>
      </c>
      <c r="D22" s="141"/>
      <c r="E22" s="138"/>
      <c r="F22" s="10">
        <f>SUM(F16:F21)</f>
        <v>0</v>
      </c>
      <c r="G22" s="10">
        <f>SUM(G16:G21)</f>
        <v>0</v>
      </c>
    </row>
    <row r="23" spans="2:7" hidden="1" outlineLevel="1" x14ac:dyDescent="0.25"/>
    <row r="24" spans="2:7" hidden="1" outlineLevel="1" x14ac:dyDescent="0.25">
      <c r="B24" s="11" t="s">
        <v>160</v>
      </c>
    </row>
    <row r="25" spans="2:7" hidden="1" outlineLevel="1" x14ac:dyDescent="0.25">
      <c r="B25" s="4" t="s">
        <v>89</v>
      </c>
      <c r="C25" s="4" t="s">
        <v>90</v>
      </c>
      <c r="D25" s="128" t="s">
        <v>91</v>
      </c>
    </row>
    <row r="26" spans="2:7" hidden="1" outlineLevel="1" x14ac:dyDescent="0.25">
      <c r="B26" s="8" t="s">
        <v>158</v>
      </c>
      <c r="C26" s="129">
        <f>C28-C27</f>
        <v>0.9</v>
      </c>
      <c r="D26" s="104">
        <f>$C$22*C26</f>
        <v>0</v>
      </c>
    </row>
    <row r="27" spans="2:7" hidden="1" outlineLevel="1" x14ac:dyDescent="0.25">
      <c r="B27" s="4" t="s">
        <v>92</v>
      </c>
      <c r="C27" s="130">
        <f>E10</f>
        <v>0.1</v>
      </c>
      <c r="D27" s="104">
        <f>$C$22*C27</f>
        <v>0</v>
      </c>
    </row>
    <row r="28" spans="2:7" hidden="1" outlineLevel="1" x14ac:dyDescent="0.25">
      <c r="B28" s="9" t="s">
        <v>93</v>
      </c>
      <c r="C28" s="131">
        <v>1</v>
      </c>
      <c r="D28" s="132">
        <f>SUM(D26:D27)</f>
        <v>0</v>
      </c>
    </row>
    <row r="29" spans="2:7" hidden="1" outlineLevel="1" x14ac:dyDescent="0.25">
      <c r="D29" s="133"/>
    </row>
    <row r="30" spans="2:7" hidden="1" outlineLevel="1" x14ac:dyDescent="0.25">
      <c r="B30" s="11" t="s">
        <v>161</v>
      </c>
    </row>
    <row r="31" spans="2:7" hidden="1" outlineLevel="1" x14ac:dyDescent="0.25">
      <c r="B31" s="4" t="s">
        <v>89</v>
      </c>
      <c r="C31" s="4" t="s">
        <v>90</v>
      </c>
      <c r="D31" s="128" t="s">
        <v>91</v>
      </c>
    </row>
    <row r="32" spans="2:7" hidden="1" outlineLevel="1" x14ac:dyDescent="0.25">
      <c r="B32" s="8" t="s">
        <v>159</v>
      </c>
      <c r="C32" s="129" t="str">
        <f>IF(D$34=0,"",D32/D$34)</f>
        <v/>
      </c>
      <c r="D32" s="104">
        <f>IF(D26&gt;E8+E9,E8+E9,D26)</f>
        <v>0</v>
      </c>
    </row>
    <row r="33" spans="2:4" hidden="1" outlineLevel="1" x14ac:dyDescent="0.25">
      <c r="B33" s="4" t="s">
        <v>92</v>
      </c>
      <c r="C33" s="129" t="str">
        <f>IF(D$34=0,"",D33/D$34)</f>
        <v/>
      </c>
      <c r="D33" s="104">
        <f>D34-D32</f>
        <v>0</v>
      </c>
    </row>
    <row r="34" spans="2:4" hidden="1" outlineLevel="1" x14ac:dyDescent="0.25">
      <c r="B34" s="9" t="s">
        <v>93</v>
      </c>
      <c r="C34" s="131">
        <f>SUM(C32:C33)</f>
        <v>0</v>
      </c>
      <c r="D34" s="132">
        <f>C22</f>
        <v>0</v>
      </c>
    </row>
    <row r="35" spans="2:4" collapsed="1" x14ac:dyDescent="0.25"/>
    <row r="36" spans="2:4" x14ac:dyDescent="0.25">
      <c r="B36" s="11" t="s">
        <v>162</v>
      </c>
    </row>
    <row r="37" spans="2:4" x14ac:dyDescent="0.25">
      <c r="B37" s="4" t="s">
        <v>89</v>
      </c>
      <c r="C37" s="4" t="s">
        <v>90</v>
      </c>
      <c r="D37" s="128" t="s">
        <v>91</v>
      </c>
    </row>
    <row r="38" spans="2:4" x14ac:dyDescent="0.25">
      <c r="B38" s="8" t="s">
        <v>94</v>
      </c>
      <c r="C38" s="129" t="str">
        <f>IF(D$41=0,"",D38/D$41)</f>
        <v/>
      </c>
      <c r="D38" s="104">
        <f>IF(D32&gt;E8,E8,D32)</f>
        <v>0</v>
      </c>
    </row>
    <row r="39" spans="2:4" x14ac:dyDescent="0.25">
      <c r="B39" s="8" t="s">
        <v>95</v>
      </c>
      <c r="C39" s="129" t="str">
        <f t="shared" ref="C39:C40" si="0">IF(D$41=0,"",D39/D$41)</f>
        <v/>
      </c>
      <c r="D39" s="104">
        <f>IF(D32&lt;E8,0,D32-E9)</f>
        <v>0</v>
      </c>
    </row>
    <row r="40" spans="2:4" x14ac:dyDescent="0.25">
      <c r="B40" s="4" t="s">
        <v>92</v>
      </c>
      <c r="C40" s="129" t="str">
        <f t="shared" si="0"/>
        <v/>
      </c>
      <c r="D40" s="104">
        <f>D41-D38-D39</f>
        <v>0</v>
      </c>
    </row>
    <row r="41" spans="2:4" x14ac:dyDescent="0.25">
      <c r="B41" s="9" t="s">
        <v>93</v>
      </c>
      <c r="C41" s="131">
        <f>SUM(C38:C40)</f>
        <v>0</v>
      </c>
      <c r="D41" s="132">
        <f>C22</f>
        <v>0</v>
      </c>
    </row>
  </sheetData>
  <sheetProtection algorithmName="SHA-512" hashValue="+/UYrVUoCwRJS+5mfCE1wmp7mTqdXf7VHVfSteXp41GZgXbLTuVKAhu3vtxOOQ2SrGJDqnumJLN4l205tjUpmQ==" saltValue="6Z6AiS2MrtSXHgLAb8RuZw==" spinCount="100000" sheet="1" formatCells="0" formatColumns="0" formatRows="0"/>
  <pageMargins left="0.70833333333333304" right="0.70833333333333304" top="0.74791666666666701" bottom="0.7479166666666670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91C56794C1C884449757CD34A945F162" ma:contentTypeVersion="18" ma:contentTypeDescription="צור מסמך חדש." ma:contentTypeScope="" ma:versionID="f2049e5b5e72a089c49a30c057541b73">
  <xsd:schema xmlns:xsd="http://www.w3.org/2001/XMLSchema" xmlns:xs="http://www.w3.org/2001/XMLSchema" xmlns:p="http://schemas.microsoft.com/office/2006/metadata/properties" xmlns:ns2="da760883-e893-4d8e-94f3-6851dc8251e5" xmlns:ns3="3a0a48e6-b766-42ba-a064-221a373db90e" targetNamespace="http://schemas.microsoft.com/office/2006/metadata/properties" ma:root="true" ma:fieldsID="8413baa7069453ef10dc7165d29002ce" ns2:_="" ns3:_="">
    <xsd:import namespace="da760883-e893-4d8e-94f3-6851dc8251e5"/>
    <xsd:import namespace="3a0a48e6-b766-42ba-a064-221a373db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60883-e893-4d8e-94f3-6851dc8251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d41ed93f-a8fb-45e3-8550-0c3d1880cf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48e6-b766-42ba-a064-221a373db90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eab2103-6b2d-4b80-a3fb-203b714f3148}" ma:internalName="TaxCatchAll" ma:showField="CatchAllData" ma:web="3a0a48e6-b766-42ba-a064-221a373db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760883-e893-4d8e-94f3-6851dc8251e5">
      <Terms xmlns="http://schemas.microsoft.com/office/infopath/2007/PartnerControls"/>
    </lcf76f155ced4ddcb4097134ff3c332f>
    <TaxCatchAll xmlns="3a0a48e6-b766-42ba-a064-221a373db90e" xsi:nil="true"/>
  </documentManagement>
</p:properties>
</file>

<file path=customXml/itemProps1.xml><?xml version="1.0" encoding="utf-8"?>
<ds:datastoreItem xmlns:ds="http://schemas.openxmlformats.org/officeDocument/2006/customXml" ds:itemID="{409A7B33-ABD9-4635-95F1-15F8F55D3933}"/>
</file>

<file path=customXml/itemProps2.xml><?xml version="1.0" encoding="utf-8"?>
<ds:datastoreItem xmlns:ds="http://schemas.openxmlformats.org/officeDocument/2006/customXml" ds:itemID="{C57FD887-5255-4E07-AA6C-3F33CB14365E}"/>
</file>

<file path=customXml/itemProps3.xml><?xml version="1.0" encoding="utf-8"?>
<ds:datastoreItem xmlns:ds="http://schemas.openxmlformats.org/officeDocument/2006/customXml" ds:itemID="{E29D0B4F-4E07-4201-A9AC-B3A97636306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פתיח</vt:lpstr>
      <vt:lpstr>שאלון למילוי הבקשה - חובה</vt:lpstr>
      <vt:lpstr>ציוד לחדרי קבוצות</vt:lpstr>
      <vt:lpstr>ציוד כללי</vt:lpstr>
      <vt:lpstr>ציוד תעסוקה וסדנאות</vt:lpstr>
      <vt:lpstr>מטבח ואזור אכילה</vt:lpstr>
      <vt:lpstr>ציוד צוות</vt:lpstr>
      <vt:lpstr>ציוד יעודי שלא נמצא בתקן</vt:lpstr>
      <vt:lpstr>סיכום לוועדה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Vadim Ignatiev</dc:creator>
  <dc:description/>
  <cp:lastModifiedBy>Beni</cp:lastModifiedBy>
  <cp:revision>0</cp:revision>
  <cp:lastPrinted>2026-08-02T15:14:47Z</cp:lastPrinted>
  <dcterms:created xsi:type="dcterms:W3CDTF">2013-08-02T06:29:35Z</dcterms:created>
  <dcterms:modified xsi:type="dcterms:W3CDTF">2026-09-01T11:50:57Z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0x01010091C56794C1C884449757CD34A945F162</vt:lpwstr>
  </property>
  <property fmtid="{D5CDD505-2E9C-101B-9397-08002B2CF9AE}" pid="3" name="Order">
    <vt:r8>10500</vt:r8>
  </property>
  <property fmtid="{D5CDD505-2E9C-101B-9397-08002B2CF9AE}" pid="4" name="TemplateUrl">
    <vt:lpwstr/>
  </property>
  <property fmtid="{D5CDD505-2E9C-101B-9397-08002B2CF9AE}" pid="5" name="_NewReviewCycle">
    <vt:lpwstr/>
  </property>
  <property fmtid="{D5CDD505-2E9C-101B-9397-08002B2CF9AE}" pid="6" name="_SharedFileIndex">
    <vt:lpwstr/>
  </property>
  <property fmtid="{D5CDD505-2E9C-101B-9397-08002B2CF9AE}" pid="7" name="_SourceUrl">
    <vt:lpwstr/>
  </property>
  <property fmtid="{D5CDD505-2E9C-101B-9397-08002B2CF9AE}" pid="8" name="xd_ProgID">
    <vt:lpwstr/>
  </property>
  <property fmtid="{D5CDD505-2E9C-101B-9397-08002B2CF9AE}" pid="9" name="xd_Signature">
    <vt:bool>false</vt:bool>
  </property>
</Properties>
</file>